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omments1.xml" ContentType="application/vnd.openxmlformats-officedocument.spreadsheetml.comments+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autoCompressPictures="0" defaultThemeVersion="124226"/>
  <mc:AlternateContent xmlns:mc="http://schemas.openxmlformats.org/markup-compatibility/2006">
    <mc:Choice Requires="x15">
      <x15ac:absPath xmlns:x15ac="http://schemas.microsoft.com/office/spreadsheetml/2010/11/ac" url="L:\Redactie\Boeken\2014\HRM voor de lijnmanager_3e druk\Voor de website\Verbeterde versie\"/>
    </mc:Choice>
  </mc:AlternateContent>
  <bookViews>
    <workbookView xWindow="105" yWindow="15" windowWidth="22905" windowHeight="11100"/>
  </bookViews>
  <sheets>
    <sheet name="START" sheetId="8" r:id="rId1"/>
    <sheet name="H1" sheetId="1" r:id="rId2"/>
    <sheet name="H2" sheetId="10" r:id="rId3"/>
    <sheet name="H3" sheetId="18" r:id="rId4"/>
    <sheet name="H4" sheetId="17" r:id="rId5"/>
    <sheet name="H5" sheetId="21" r:id="rId6"/>
    <sheet name="H6" sheetId="15" r:id="rId7"/>
    <sheet name="Scores!" sheetId="7" r:id="rId8"/>
  </sheets>
  <calcPr calcId="152511" concurrentCalc="0"/>
  <fileRecoveryPr autoRecover="0"/>
  <extLst>
    <ext xmlns:mx="http://schemas.microsoft.com/office/mac/excel/2008/main" uri="{7523E5D3-25F3-A5E0-1632-64F254C22452}">
      <mx:ArchID Flags="2"/>
    </ext>
  </extLst>
</workbook>
</file>

<file path=xl/calcChain.xml><?xml version="1.0" encoding="utf-8"?>
<calcChain xmlns="http://schemas.openxmlformats.org/spreadsheetml/2006/main">
  <c r="J344" i="1" l="1"/>
  <c r="J559" i="17"/>
  <c r="J557" i="17"/>
  <c r="J555" i="17"/>
  <c r="J553" i="17"/>
  <c r="J551" i="17"/>
  <c r="J550" i="17"/>
  <c r="J548" i="17"/>
  <c r="K548" i="17"/>
  <c r="J547" i="17"/>
  <c r="J339" i="1"/>
  <c r="J340" i="1"/>
  <c r="D143" i="21"/>
  <c r="E536" i="17"/>
  <c r="E528" i="17"/>
  <c r="E522" i="17"/>
  <c r="B320" i="17"/>
  <c r="E386" i="18"/>
  <c r="E389" i="18"/>
  <c r="E391" i="18"/>
  <c r="E390" i="18"/>
  <c r="E388" i="18"/>
  <c r="E387" i="18"/>
  <c r="E385" i="18"/>
  <c r="E384" i="18"/>
  <c r="E383" i="18"/>
  <c r="J383" i="18"/>
  <c r="E382" i="18"/>
  <c r="J382" i="18"/>
  <c r="J1201" i="17"/>
  <c r="J357" i="15"/>
  <c r="E289" i="17"/>
  <c r="J1019" i="17"/>
  <c r="B1020" i="17"/>
  <c r="J1001" i="17"/>
  <c r="B1002" i="17"/>
  <c r="J353" i="15"/>
  <c r="J351" i="15"/>
  <c r="J349" i="15"/>
  <c r="J350" i="15"/>
  <c r="K350" i="15"/>
  <c r="J347" i="15"/>
  <c r="J348" i="15"/>
  <c r="K348" i="15"/>
  <c r="J354" i="15"/>
  <c r="K354" i="15"/>
  <c r="J352" i="15"/>
  <c r="K352" i="15"/>
  <c r="J345" i="15"/>
  <c r="J346" i="15"/>
  <c r="K346" i="15"/>
  <c r="J343" i="15"/>
  <c r="J344" i="15"/>
  <c r="K344" i="15"/>
  <c r="F338" i="15"/>
  <c r="F336" i="15"/>
  <c r="F335" i="15"/>
  <c r="J338" i="15"/>
  <c r="K338" i="15"/>
  <c r="J336" i="15"/>
  <c r="K336" i="15"/>
  <c r="J335" i="15"/>
  <c r="K335" i="15"/>
  <c r="J200" i="15"/>
  <c r="J202" i="15"/>
  <c r="J199" i="15"/>
  <c r="K199" i="15"/>
  <c r="J107" i="21"/>
  <c r="K107" i="21"/>
  <c r="J106" i="21"/>
  <c r="K106" i="21"/>
  <c r="J105" i="21"/>
  <c r="K105" i="21"/>
  <c r="H107" i="21"/>
  <c r="H106" i="21"/>
  <c r="H105" i="21"/>
  <c r="J104" i="21"/>
  <c r="K104" i="21"/>
  <c r="H104" i="21"/>
  <c r="J94" i="21"/>
  <c r="K94" i="21"/>
  <c r="J93" i="21"/>
  <c r="K93" i="21"/>
  <c r="J92" i="21"/>
  <c r="J90" i="21"/>
  <c r="K90" i="21"/>
  <c r="J89" i="21"/>
  <c r="K89" i="21"/>
  <c r="H94" i="21"/>
  <c r="H93" i="21"/>
  <c r="H92" i="21"/>
  <c r="H91" i="21"/>
  <c r="H90" i="21"/>
  <c r="H89" i="21"/>
  <c r="K92" i="21"/>
  <c r="J91" i="21"/>
  <c r="K91" i="21"/>
  <c r="J80" i="21"/>
  <c r="B81" i="21"/>
  <c r="J76" i="21"/>
  <c r="K76" i="21"/>
  <c r="J77" i="21"/>
  <c r="K77" i="21"/>
  <c r="J78" i="21"/>
  <c r="K78" i="21"/>
  <c r="J75" i="21"/>
  <c r="K75" i="21"/>
  <c r="J1263" i="17"/>
  <c r="K1263" i="17"/>
  <c r="J1262" i="17"/>
  <c r="K1262" i="17"/>
  <c r="J1260" i="17"/>
  <c r="K1260" i="17"/>
  <c r="G1263" i="17"/>
  <c r="G1262" i="17"/>
  <c r="J1261" i="17"/>
  <c r="K1261" i="17"/>
  <c r="G1261" i="17"/>
  <c r="G1260" i="17"/>
  <c r="J1259" i="17"/>
  <c r="K1259" i="17"/>
  <c r="G1259" i="17"/>
  <c r="J1258" i="17"/>
  <c r="K1258" i="17"/>
  <c r="G1258" i="17"/>
  <c r="J1249" i="17"/>
  <c r="K1249" i="17"/>
  <c r="J1248" i="17"/>
  <c r="K1248" i="17"/>
  <c r="J1247" i="17"/>
  <c r="K1247" i="17"/>
  <c r="J1244" i="17"/>
  <c r="K1244" i="17"/>
  <c r="J1246" i="17"/>
  <c r="K1246" i="17"/>
  <c r="J1245" i="17"/>
  <c r="K1245" i="17"/>
  <c r="D1249" i="17"/>
  <c r="D1248" i="17"/>
  <c r="D1247" i="17"/>
  <c r="D1246" i="17"/>
  <c r="D1245" i="17"/>
  <c r="D1244" i="17"/>
  <c r="D1229" i="17"/>
  <c r="J1164" i="17"/>
  <c r="B1165" i="17"/>
  <c r="J1163" i="17"/>
  <c r="K1163" i="17"/>
  <c r="J1162" i="17"/>
  <c r="K1162" i="17"/>
  <c r="J1161" i="17"/>
  <c r="K1161" i="17"/>
  <c r="J1160" i="17"/>
  <c r="K1160" i="17"/>
  <c r="J842" i="17"/>
  <c r="J840" i="17"/>
  <c r="K840" i="17"/>
  <c r="J839" i="17"/>
  <c r="K839" i="17"/>
  <c r="J838" i="17"/>
  <c r="K838" i="17"/>
  <c r="J837" i="17"/>
  <c r="K837" i="17"/>
  <c r="J731" i="17"/>
  <c r="B732" i="17"/>
  <c r="J728" i="17"/>
  <c r="K728" i="17"/>
  <c r="J727" i="17"/>
  <c r="K727" i="17"/>
  <c r="J729" i="17"/>
  <c r="K729" i="17"/>
  <c r="J726" i="17"/>
  <c r="K726" i="17"/>
  <c r="J700" i="17"/>
  <c r="K700" i="17"/>
  <c r="J698" i="17"/>
  <c r="K698" i="17"/>
  <c r="B720" i="17"/>
  <c r="B719" i="17"/>
  <c r="B718" i="17"/>
  <c r="J713" i="17"/>
  <c r="J714" i="17"/>
  <c r="K714" i="17"/>
  <c r="J711" i="17"/>
  <c r="J712" i="17"/>
  <c r="K712" i="17"/>
  <c r="J709" i="17"/>
  <c r="J710" i="17"/>
  <c r="K710" i="17"/>
  <c r="J705" i="17"/>
  <c r="B706" i="17"/>
  <c r="J701" i="17"/>
  <c r="K701" i="17"/>
  <c r="J699" i="17"/>
  <c r="K699" i="17"/>
  <c r="F147" i="17"/>
  <c r="J149" i="17"/>
  <c r="K149" i="17"/>
  <c r="J148" i="17"/>
  <c r="K148" i="17"/>
  <c r="J150" i="17"/>
  <c r="K150" i="17"/>
  <c r="F150" i="17"/>
  <c r="F149" i="17"/>
  <c r="F148" i="17"/>
  <c r="J141" i="17"/>
  <c r="B141" i="17"/>
  <c r="J136" i="17"/>
  <c r="J137" i="17"/>
  <c r="K137" i="17"/>
  <c r="J134" i="17"/>
  <c r="J135" i="17"/>
  <c r="K135" i="17"/>
  <c r="J584" i="18"/>
  <c r="B584" i="18"/>
  <c r="G578" i="18"/>
  <c r="G579" i="18"/>
  <c r="G581" i="18"/>
  <c r="G580" i="18"/>
  <c r="G577" i="18"/>
  <c r="J579" i="18"/>
  <c r="K579" i="18"/>
  <c r="J578" i="18"/>
  <c r="K578" i="18"/>
  <c r="J577" i="18"/>
  <c r="K577" i="18"/>
  <c r="J576" i="18"/>
  <c r="K576" i="18"/>
  <c r="J574" i="18"/>
  <c r="J575" i="18"/>
  <c r="K575" i="18"/>
  <c r="K574" i="18"/>
  <c r="J573" i="18"/>
  <c r="K573" i="18"/>
  <c r="J572" i="18"/>
  <c r="K572" i="18"/>
  <c r="J571" i="18"/>
  <c r="K571" i="18"/>
  <c r="J570" i="18"/>
  <c r="K570" i="18"/>
  <c r="J561" i="18"/>
  <c r="K561" i="18"/>
  <c r="J559" i="18"/>
  <c r="K559" i="18"/>
  <c r="J565" i="18"/>
  <c r="B565" i="18"/>
  <c r="J560" i="18"/>
  <c r="K560" i="18"/>
  <c r="J558" i="18"/>
  <c r="K558" i="18"/>
  <c r="F1107" i="17"/>
  <c r="C677" i="17"/>
  <c r="D677" i="17"/>
  <c r="C679" i="17"/>
  <c r="D679" i="17"/>
  <c r="J624" i="18"/>
  <c r="B625" i="18"/>
  <c r="C490" i="18"/>
  <c r="C503" i="18"/>
  <c r="G505" i="18"/>
  <c r="H500" i="18"/>
  <c r="H499" i="18"/>
  <c r="G490" i="18"/>
  <c r="F477" i="18"/>
  <c r="F413" i="18"/>
  <c r="F412" i="18"/>
  <c r="F411" i="18"/>
  <c r="F410" i="18"/>
  <c r="F409" i="18"/>
  <c r="F408" i="18"/>
  <c r="F407" i="18"/>
  <c r="F406" i="18"/>
  <c r="F405" i="18"/>
  <c r="J193" i="18"/>
  <c r="B193" i="18"/>
  <c r="J100" i="1"/>
  <c r="J101" i="1"/>
  <c r="J105" i="1"/>
  <c r="K105" i="1"/>
  <c r="C105" i="1"/>
  <c r="J241" i="15"/>
  <c r="K241" i="15"/>
  <c r="J242" i="15"/>
  <c r="K242" i="15"/>
  <c r="J244" i="15"/>
  <c r="K244" i="15"/>
  <c r="J245" i="15"/>
  <c r="K245" i="15"/>
  <c r="J247" i="15"/>
  <c r="K247" i="15"/>
  <c r="J249" i="15"/>
  <c r="K249" i="15"/>
  <c r="J251" i="15"/>
  <c r="K251" i="15"/>
  <c r="J274" i="15"/>
  <c r="K274" i="15"/>
  <c r="J277" i="15"/>
  <c r="K277" i="15"/>
  <c r="J279" i="15"/>
  <c r="K279" i="15"/>
  <c r="J282" i="15"/>
  <c r="K282" i="15"/>
  <c r="J281" i="15"/>
  <c r="K281" i="15"/>
  <c r="J284" i="15"/>
  <c r="K284" i="15"/>
  <c r="J286" i="15"/>
  <c r="K286" i="15"/>
  <c r="J315" i="15"/>
  <c r="K315" i="15"/>
  <c r="J320" i="15"/>
  <c r="K320" i="15"/>
  <c r="J321" i="15"/>
  <c r="K321" i="15"/>
  <c r="J350" i="1"/>
  <c r="J351" i="1"/>
  <c r="J353" i="1"/>
  <c r="K353" i="1"/>
  <c r="J314" i="1"/>
  <c r="K314" i="1"/>
  <c r="F314" i="1"/>
  <c r="J91" i="1"/>
  <c r="K91" i="1"/>
  <c r="J92" i="1"/>
  <c r="K92" i="1"/>
  <c r="K339" i="1"/>
  <c r="J338" i="1"/>
  <c r="K338" i="1"/>
  <c r="J22" i="1"/>
  <c r="K22" i="1"/>
  <c r="J642" i="18"/>
  <c r="K642" i="18"/>
  <c r="J643" i="18"/>
  <c r="K643" i="18"/>
  <c r="J644" i="18"/>
  <c r="K644" i="18"/>
  <c r="J645" i="18"/>
  <c r="K645" i="18"/>
  <c r="J29" i="18"/>
  <c r="K29" i="18"/>
  <c r="J30" i="18"/>
  <c r="K30" i="18"/>
  <c r="J31" i="18"/>
  <c r="K31" i="18"/>
  <c r="J32" i="18"/>
  <c r="K32" i="18"/>
  <c r="J184" i="18"/>
  <c r="J185" i="18"/>
  <c r="K185" i="18"/>
  <c r="J186" i="18"/>
  <c r="J187" i="18"/>
  <c r="K187" i="18"/>
  <c r="J405" i="18"/>
  <c r="K405" i="18"/>
  <c r="J406" i="18"/>
  <c r="K406" i="18"/>
  <c r="J407" i="18"/>
  <c r="K407" i="18"/>
  <c r="J408" i="18"/>
  <c r="K408" i="18"/>
  <c r="J409" i="18"/>
  <c r="K409" i="18"/>
  <c r="J410" i="18"/>
  <c r="K410" i="18"/>
  <c r="J411" i="18"/>
  <c r="K411" i="18"/>
  <c r="J412" i="18"/>
  <c r="K412" i="18"/>
  <c r="J413" i="18"/>
  <c r="K413" i="18"/>
  <c r="J422" i="18"/>
  <c r="K422" i="18"/>
  <c r="J492" i="18"/>
  <c r="J493" i="18"/>
  <c r="K493" i="18"/>
  <c r="J480" i="18"/>
  <c r="J481" i="18"/>
  <c r="K481" i="18"/>
  <c r="J483" i="18"/>
  <c r="J484" i="18"/>
  <c r="K484" i="18"/>
  <c r="J486" i="18"/>
  <c r="J487" i="18"/>
  <c r="K487" i="18"/>
  <c r="J489" i="18"/>
  <c r="J490" i="18"/>
  <c r="K490" i="18"/>
  <c r="J495" i="18"/>
  <c r="J496" i="18"/>
  <c r="K496" i="18"/>
  <c r="J498" i="18"/>
  <c r="J499" i="18"/>
  <c r="K499" i="18"/>
  <c r="J477" i="18"/>
  <c r="J478" i="18"/>
  <c r="K478" i="18"/>
  <c r="J619" i="18"/>
  <c r="K619" i="18"/>
  <c r="J620" i="18"/>
  <c r="K620" i="18"/>
  <c r="J621" i="18"/>
  <c r="K621" i="18"/>
  <c r="J8" i="18"/>
  <c r="K8" i="18"/>
  <c r="J7" i="18"/>
  <c r="K7" i="18"/>
  <c r="J6" i="18"/>
  <c r="K6" i="18"/>
  <c r="J5" i="18"/>
  <c r="K5" i="18"/>
  <c r="J19" i="18"/>
  <c r="K19" i="18"/>
  <c r="J14" i="10"/>
  <c r="K14" i="10"/>
  <c r="J47" i="10"/>
  <c r="K47" i="10"/>
  <c r="J139" i="10"/>
  <c r="K139" i="10"/>
  <c r="J140" i="10"/>
  <c r="K140" i="10"/>
  <c r="J142" i="10"/>
  <c r="K142" i="10"/>
  <c r="J1313" i="17"/>
  <c r="K1313" i="17"/>
  <c r="J12" i="17"/>
  <c r="K12" i="17"/>
  <c r="J61" i="17"/>
  <c r="K61" i="17"/>
  <c r="K946" i="17"/>
  <c r="K949" i="17"/>
  <c r="K952" i="17"/>
  <c r="K954" i="17"/>
  <c r="K957" i="17"/>
  <c r="K960" i="17"/>
  <c r="J1130" i="17"/>
  <c r="J1131" i="17"/>
  <c r="K1131" i="17"/>
  <c r="J1133" i="17"/>
  <c r="J1134" i="17"/>
  <c r="K1134" i="17"/>
  <c r="J1136" i="17"/>
  <c r="J1137" i="17"/>
  <c r="K1137" i="17"/>
  <c r="J1139" i="17"/>
  <c r="J1140" i="17"/>
  <c r="K1140" i="17"/>
  <c r="J1141" i="17"/>
  <c r="J1142" i="17"/>
  <c r="K1142" i="17"/>
  <c r="J1053" i="17"/>
  <c r="K1053" i="17"/>
  <c r="J1051" i="17"/>
  <c r="K1051" i="17"/>
  <c r="J6" i="21"/>
  <c r="K6" i="21"/>
  <c r="J205" i="21"/>
  <c r="J206" i="21"/>
  <c r="K206" i="21"/>
  <c r="J214" i="21"/>
  <c r="J215" i="21"/>
  <c r="K215" i="21"/>
  <c r="J113" i="21"/>
  <c r="J114" i="21"/>
  <c r="K114" i="21"/>
  <c r="J115" i="21"/>
  <c r="J116" i="21"/>
  <c r="K116" i="21"/>
  <c r="J7" i="21"/>
  <c r="K7" i="21"/>
  <c r="J8" i="21"/>
  <c r="K8" i="21"/>
  <c r="J9" i="21"/>
  <c r="K9" i="21"/>
  <c r="J359" i="15"/>
  <c r="J360" i="15"/>
  <c r="K360" i="15"/>
  <c r="L373" i="15"/>
  <c r="C373" i="15"/>
  <c r="J358" i="15"/>
  <c r="K358" i="15"/>
  <c r="J16" i="15"/>
  <c r="K16" i="15"/>
  <c r="J17" i="15"/>
  <c r="K17" i="15"/>
  <c r="J18" i="15"/>
  <c r="K18" i="15"/>
  <c r="J19" i="15"/>
  <c r="K19" i="15"/>
  <c r="J20" i="15"/>
  <c r="K20" i="15"/>
  <c r="J21" i="15"/>
  <c r="K21" i="15"/>
  <c r="J22" i="15"/>
  <c r="K22" i="15"/>
  <c r="J24" i="15"/>
  <c r="K24" i="15"/>
  <c r="J25" i="15"/>
  <c r="K25" i="15"/>
  <c r="J27" i="15"/>
  <c r="K27" i="15"/>
  <c r="J29" i="15"/>
  <c r="K29" i="15"/>
  <c r="J31" i="15"/>
  <c r="K31" i="15"/>
  <c r="J33" i="15"/>
  <c r="K33" i="15"/>
  <c r="J34" i="15"/>
  <c r="K34" i="15"/>
  <c r="J36" i="15"/>
  <c r="K36" i="15"/>
  <c r="J38" i="15"/>
  <c r="K38" i="15"/>
  <c r="J40" i="15"/>
  <c r="K40" i="15"/>
  <c r="J48" i="15"/>
  <c r="K48" i="15"/>
  <c r="J49" i="15"/>
  <c r="K49" i="15"/>
  <c r="J50" i="15"/>
  <c r="K50" i="15"/>
  <c r="J51" i="15"/>
  <c r="K51" i="15"/>
  <c r="J54" i="15"/>
  <c r="K54" i="15"/>
  <c r="J56" i="15"/>
  <c r="K56" i="15"/>
  <c r="J59" i="15"/>
  <c r="K59" i="15"/>
  <c r="J60" i="15"/>
  <c r="K60" i="15"/>
  <c r="J61" i="15"/>
  <c r="K61" i="15"/>
  <c r="J63" i="15"/>
  <c r="K63" i="15"/>
  <c r="J65" i="15"/>
  <c r="K65" i="15"/>
  <c r="J68" i="15"/>
  <c r="K68" i="15"/>
  <c r="J71" i="15"/>
  <c r="K71" i="15"/>
  <c r="J80" i="15"/>
  <c r="K80" i="15"/>
  <c r="J81" i="15"/>
  <c r="K81" i="15"/>
  <c r="J82" i="15"/>
  <c r="K82" i="15"/>
  <c r="J84" i="15"/>
  <c r="K84" i="15"/>
  <c r="J86" i="15"/>
  <c r="K86" i="15"/>
  <c r="J87" i="15"/>
  <c r="K87" i="15"/>
  <c r="J90" i="15"/>
  <c r="K90" i="15"/>
  <c r="J92" i="15"/>
  <c r="K92" i="15"/>
  <c r="J95" i="15"/>
  <c r="K95" i="15"/>
  <c r="J97" i="15"/>
  <c r="K97" i="15"/>
  <c r="J99" i="15"/>
  <c r="K99" i="15"/>
  <c r="J100" i="15"/>
  <c r="K100" i="15"/>
  <c r="J109" i="15"/>
  <c r="K109" i="15"/>
  <c r="J110" i="15"/>
  <c r="K110" i="15"/>
  <c r="J111" i="15"/>
  <c r="K111" i="15"/>
  <c r="J112" i="15"/>
  <c r="K112" i="15"/>
  <c r="J113" i="15"/>
  <c r="K113" i="15"/>
  <c r="J114" i="15"/>
  <c r="K114" i="15"/>
  <c r="J115" i="15"/>
  <c r="K115" i="15"/>
  <c r="J116" i="15"/>
  <c r="K116" i="15"/>
  <c r="J117" i="15"/>
  <c r="K117" i="15"/>
  <c r="J118" i="15"/>
  <c r="K118" i="15"/>
  <c r="J119" i="15"/>
  <c r="K119" i="15"/>
  <c r="J120" i="15"/>
  <c r="K120" i="15"/>
  <c r="J121" i="15"/>
  <c r="K121" i="15"/>
  <c r="J122" i="15"/>
  <c r="K122" i="15"/>
  <c r="J123" i="15"/>
  <c r="K123" i="15"/>
  <c r="J124" i="15"/>
  <c r="K124" i="15"/>
  <c r="J125" i="15"/>
  <c r="K125" i="15"/>
  <c r="J126" i="15"/>
  <c r="K126" i="15"/>
  <c r="J127" i="15"/>
  <c r="K127" i="15"/>
  <c r="J128" i="15"/>
  <c r="K128" i="15"/>
  <c r="J129" i="15"/>
  <c r="K129" i="15"/>
  <c r="J135" i="15"/>
  <c r="K135" i="15"/>
  <c r="J136" i="15"/>
  <c r="K136" i="15"/>
  <c r="J137" i="15"/>
  <c r="K137" i="15"/>
  <c r="J138" i="15"/>
  <c r="K138" i="15"/>
  <c r="J144" i="15"/>
  <c r="K144" i="15"/>
  <c r="J145" i="15"/>
  <c r="K145" i="15"/>
  <c r="J146" i="15"/>
  <c r="K146" i="15"/>
  <c r="J147" i="15"/>
  <c r="K147" i="15"/>
  <c r="J157" i="15"/>
  <c r="K157" i="15"/>
  <c r="J159" i="15"/>
  <c r="K159" i="15"/>
  <c r="J161" i="15"/>
  <c r="K161" i="15"/>
  <c r="J163" i="15"/>
  <c r="K163" i="15"/>
  <c r="J165" i="15"/>
  <c r="K165" i="15"/>
  <c r="J168" i="15"/>
  <c r="K168" i="15"/>
  <c r="J171" i="15"/>
  <c r="K171" i="15"/>
  <c r="J174" i="15"/>
  <c r="K174" i="15"/>
  <c r="J175" i="15"/>
  <c r="K175" i="15"/>
  <c r="J176" i="15"/>
  <c r="K176" i="15"/>
  <c r="J178" i="15"/>
  <c r="K178" i="15"/>
  <c r="J180" i="15"/>
  <c r="K180" i="15"/>
  <c r="J182" i="15"/>
  <c r="K182" i="15"/>
  <c r="J183" i="15"/>
  <c r="K183" i="15"/>
  <c r="J185" i="15"/>
  <c r="K185" i="15"/>
  <c r="J187" i="15"/>
  <c r="K187" i="15"/>
  <c r="J188" i="15"/>
  <c r="K188" i="15"/>
  <c r="J190" i="15"/>
  <c r="K190" i="15"/>
  <c r="K200" i="15"/>
  <c r="J201" i="15"/>
  <c r="K201" i="15"/>
  <c r="J209" i="15"/>
  <c r="K209" i="15"/>
  <c r="J210" i="15"/>
  <c r="K210" i="15"/>
  <c r="J211" i="15"/>
  <c r="K211" i="15"/>
  <c r="J212" i="15"/>
  <c r="K212" i="15"/>
  <c r="J219" i="15"/>
  <c r="K219" i="15"/>
  <c r="J220" i="15"/>
  <c r="K220" i="15"/>
  <c r="J221" i="15"/>
  <c r="K221" i="15"/>
  <c r="J222" i="15"/>
  <c r="K222" i="15"/>
  <c r="J229" i="15"/>
  <c r="K229" i="15"/>
  <c r="J230" i="15"/>
  <c r="K230" i="15"/>
  <c r="J231" i="15"/>
  <c r="K231" i="15"/>
  <c r="J232" i="15"/>
  <c r="K232" i="15"/>
  <c r="J261" i="15"/>
  <c r="K261" i="15"/>
  <c r="J263" i="15"/>
  <c r="K263" i="15"/>
  <c r="J265" i="15"/>
  <c r="K265" i="15"/>
  <c r="J292" i="15"/>
  <c r="J293" i="15"/>
  <c r="K293" i="15"/>
  <c r="J302" i="15"/>
  <c r="J303" i="15"/>
  <c r="K303" i="15"/>
  <c r="J304" i="15"/>
  <c r="J305" i="15"/>
  <c r="K305" i="15"/>
  <c r="J312" i="15"/>
  <c r="K312" i="15"/>
  <c r="J313" i="15"/>
  <c r="K313" i="15"/>
  <c r="J314" i="15"/>
  <c r="K314" i="15"/>
  <c r="J322" i="15"/>
  <c r="K322" i="15"/>
  <c r="J323" i="15"/>
  <c r="K323" i="15"/>
  <c r="K374" i="15"/>
  <c r="K375" i="15"/>
  <c r="L226" i="21"/>
  <c r="K227" i="21"/>
  <c r="K228" i="21"/>
  <c r="J126" i="17"/>
  <c r="J127" i="17"/>
  <c r="K127" i="17"/>
  <c r="J823" i="17"/>
  <c r="J824" i="17"/>
  <c r="K824" i="17"/>
  <c r="J544" i="17"/>
  <c r="K544" i="17"/>
  <c r="J118" i="17"/>
  <c r="J119" i="17"/>
  <c r="K119" i="17"/>
  <c r="J112" i="17"/>
  <c r="J113" i="17"/>
  <c r="K113" i="17"/>
  <c r="J114" i="17"/>
  <c r="J115" i="17"/>
  <c r="K115" i="17"/>
  <c r="J116" i="17"/>
  <c r="J117" i="17"/>
  <c r="K117" i="17"/>
  <c r="K557" i="17"/>
  <c r="K555" i="17"/>
  <c r="K551" i="17"/>
  <c r="J545" i="17"/>
  <c r="K545" i="17"/>
  <c r="K559" i="17"/>
  <c r="K553" i="17"/>
  <c r="K550" i="17"/>
  <c r="K547" i="17"/>
  <c r="J542" i="17"/>
  <c r="K542" i="17"/>
  <c r="F559" i="17"/>
  <c r="F557" i="17"/>
  <c r="F555" i="17"/>
  <c r="F553" i="17"/>
  <c r="F551" i="17"/>
  <c r="F550" i="17"/>
  <c r="F548" i="17"/>
  <c r="F547" i="17"/>
  <c r="F545" i="17"/>
  <c r="F544" i="17"/>
  <c r="F541" i="17"/>
  <c r="F542" i="17"/>
  <c r="J1212" i="17"/>
  <c r="K1212" i="17"/>
  <c r="J1211" i="17"/>
  <c r="K1211" i="17"/>
  <c r="J1210" i="17"/>
  <c r="K1210" i="17"/>
  <c r="J1209" i="17"/>
  <c r="K1209" i="17"/>
  <c r="J1208" i="17"/>
  <c r="K1208" i="17"/>
  <c r="J263" i="17"/>
  <c r="K263" i="17"/>
  <c r="J265" i="17"/>
  <c r="K265" i="17"/>
  <c r="J266" i="17"/>
  <c r="K266" i="17"/>
  <c r="J268" i="17"/>
  <c r="K268" i="17"/>
  <c r="J269" i="17"/>
  <c r="K269" i="17"/>
  <c r="J275" i="17"/>
  <c r="K275" i="17"/>
  <c r="J277" i="17"/>
  <c r="K277" i="17"/>
  <c r="J281" i="17"/>
  <c r="K281" i="17"/>
  <c r="J819" i="17"/>
  <c r="J820" i="17"/>
  <c r="K820" i="17"/>
  <c r="J1332" i="17"/>
  <c r="K1332" i="17"/>
  <c r="J1331" i="17"/>
  <c r="K1331" i="17"/>
  <c r="J1323" i="17"/>
  <c r="K1323" i="17"/>
  <c r="J1324" i="17"/>
  <c r="K1324" i="17"/>
  <c r="J1315" i="17"/>
  <c r="K1315" i="17"/>
  <c r="J1316" i="17"/>
  <c r="K1316" i="17"/>
  <c r="J1314" i="17"/>
  <c r="K1314" i="17"/>
  <c r="J67" i="17"/>
  <c r="J68" i="17"/>
  <c r="K68" i="17"/>
  <c r="J69" i="17"/>
  <c r="J70" i="17"/>
  <c r="K70" i="17"/>
  <c r="J71" i="17"/>
  <c r="J72" i="17"/>
  <c r="K72" i="17"/>
  <c r="L1353" i="17"/>
  <c r="K1354" i="17"/>
  <c r="K1355" i="17"/>
  <c r="B370" i="15"/>
  <c r="J324" i="15"/>
  <c r="B326" i="15"/>
  <c r="J316" i="15"/>
  <c r="B317" i="15"/>
  <c r="J306" i="15"/>
  <c r="D305" i="15"/>
  <c r="J294" i="15"/>
  <c r="C297" i="15"/>
  <c r="E284" i="15"/>
  <c r="E282" i="15"/>
  <c r="E281" i="15"/>
  <c r="E279" i="15"/>
  <c r="E277" i="15"/>
  <c r="E274" i="15"/>
  <c r="E272" i="15"/>
  <c r="E286" i="15"/>
  <c r="J266" i="15"/>
  <c r="E267" i="15"/>
  <c r="E239" i="15"/>
  <c r="E251" i="15"/>
  <c r="E249" i="15"/>
  <c r="E247" i="15"/>
  <c r="E245" i="15"/>
  <c r="E244" i="15"/>
  <c r="E242" i="15"/>
  <c r="E241" i="15"/>
  <c r="J233" i="15"/>
  <c r="B235" i="15"/>
  <c r="J223" i="15"/>
  <c r="B224" i="15"/>
  <c r="J213" i="15"/>
  <c r="B214" i="15"/>
  <c r="E203" i="15"/>
  <c r="E190" i="15"/>
  <c r="E188" i="15"/>
  <c r="E187" i="15"/>
  <c r="E185" i="15"/>
  <c r="E183" i="15"/>
  <c r="E182" i="15"/>
  <c r="E180" i="15"/>
  <c r="E178" i="15"/>
  <c r="E176" i="15"/>
  <c r="E175" i="15"/>
  <c r="E174" i="15"/>
  <c r="E168" i="15"/>
  <c r="E165" i="15"/>
  <c r="E163" i="15"/>
  <c r="E161" i="15"/>
  <c r="E159" i="15"/>
  <c r="E157" i="15"/>
  <c r="E154" i="15"/>
  <c r="E171" i="15"/>
  <c r="J148" i="15"/>
  <c r="B149" i="15"/>
  <c r="J139" i="15"/>
  <c r="B141" i="15"/>
  <c r="E128" i="15"/>
  <c r="E129" i="15"/>
  <c r="E127" i="15"/>
  <c r="E126" i="15"/>
  <c r="E125" i="15"/>
  <c r="E124" i="15"/>
  <c r="E123" i="15"/>
  <c r="E122" i="15"/>
  <c r="E121" i="15"/>
  <c r="E120" i="15"/>
  <c r="E119" i="15"/>
  <c r="E118" i="15"/>
  <c r="E117" i="15"/>
  <c r="E116" i="15"/>
  <c r="E115" i="15"/>
  <c r="E114" i="15"/>
  <c r="E113" i="15"/>
  <c r="E112" i="15"/>
  <c r="E111" i="15"/>
  <c r="E110" i="15"/>
  <c r="E108" i="15"/>
  <c r="E109" i="15"/>
  <c r="E81" i="15"/>
  <c r="E100" i="15"/>
  <c r="E99" i="15"/>
  <c r="E97" i="15"/>
  <c r="E95" i="15"/>
  <c r="E92" i="15"/>
  <c r="E90" i="15"/>
  <c r="E87" i="15"/>
  <c r="E86" i="15"/>
  <c r="E84" i="15"/>
  <c r="E82" i="15"/>
  <c r="E80" i="15"/>
  <c r="E78" i="15"/>
  <c r="E71" i="15"/>
  <c r="E68" i="15"/>
  <c r="E65" i="15"/>
  <c r="E63" i="15"/>
  <c r="E61" i="15"/>
  <c r="E60" i="15"/>
  <c r="E59" i="15"/>
  <c r="E56" i="15"/>
  <c r="E54" i="15"/>
  <c r="E51" i="15"/>
  <c r="E50" i="15"/>
  <c r="E49" i="15"/>
  <c r="E48" i="15"/>
  <c r="E47" i="15"/>
  <c r="E21" i="15"/>
  <c r="E40" i="15"/>
  <c r="E38" i="15"/>
  <c r="E36" i="15"/>
  <c r="E34" i="15"/>
  <c r="E33" i="15"/>
  <c r="E31" i="15"/>
  <c r="E29" i="15"/>
  <c r="E27" i="15"/>
  <c r="E25" i="15"/>
  <c r="E24" i="15"/>
  <c r="E22" i="15"/>
  <c r="E20" i="15"/>
  <c r="E19" i="15"/>
  <c r="E18" i="15"/>
  <c r="E17" i="15"/>
  <c r="E16" i="15"/>
  <c r="E15" i="15"/>
  <c r="D215" i="21"/>
  <c r="B207" i="21"/>
  <c r="B206" i="21"/>
  <c r="B205" i="21"/>
  <c r="B204" i="21"/>
  <c r="B203" i="21"/>
  <c r="B202" i="21"/>
  <c r="J202" i="21"/>
  <c r="J199" i="21"/>
  <c r="J200" i="21"/>
  <c r="K200" i="21"/>
  <c r="J196" i="21"/>
  <c r="J191" i="21"/>
  <c r="J189" i="21"/>
  <c r="J203" i="21"/>
  <c r="K203" i="21"/>
  <c r="J197" i="21"/>
  <c r="K197" i="21"/>
  <c r="J192" i="21"/>
  <c r="K192" i="21"/>
  <c r="J190" i="21"/>
  <c r="K190" i="21"/>
  <c r="B175" i="21"/>
  <c r="B176" i="21"/>
  <c r="B177" i="21"/>
  <c r="B178" i="21"/>
  <c r="B179" i="21"/>
  <c r="B180" i="21"/>
  <c r="B181" i="21"/>
  <c r="B182" i="21"/>
  <c r="B183" i="21"/>
  <c r="B184" i="21"/>
  <c r="J171" i="21"/>
  <c r="J172" i="21"/>
  <c r="K172" i="21"/>
  <c r="J169" i="21"/>
  <c r="J170" i="21"/>
  <c r="K170" i="21"/>
  <c r="J167" i="21"/>
  <c r="J168" i="21"/>
  <c r="K168" i="21"/>
  <c r="J165" i="21"/>
  <c r="J166" i="21"/>
  <c r="K166" i="21"/>
  <c r="J163" i="21"/>
  <c r="J164" i="21"/>
  <c r="K164" i="21"/>
  <c r="J161" i="21"/>
  <c r="J162" i="21"/>
  <c r="K162" i="21"/>
  <c r="J159" i="21"/>
  <c r="J160" i="21"/>
  <c r="K160" i="21"/>
  <c r="J157" i="21"/>
  <c r="J158" i="21"/>
  <c r="K158" i="21"/>
  <c r="J155" i="21"/>
  <c r="J156" i="21"/>
  <c r="K156" i="21"/>
  <c r="F149" i="21"/>
  <c r="J148" i="21"/>
  <c r="D140" i="21"/>
  <c r="E138" i="21"/>
  <c r="E132" i="21"/>
  <c r="J142" i="21"/>
  <c r="J143" i="21"/>
  <c r="K143" i="21"/>
  <c r="J139" i="21"/>
  <c r="J137" i="21"/>
  <c r="J138" i="21"/>
  <c r="K138" i="21"/>
  <c r="J134" i="21"/>
  <c r="J135" i="21"/>
  <c r="K135" i="21"/>
  <c r="H136" i="21"/>
  <c r="J131" i="21"/>
  <c r="J132" i="21"/>
  <c r="K132" i="21"/>
  <c r="J140" i="21"/>
  <c r="K140" i="21"/>
  <c r="D66" i="21"/>
  <c r="J57" i="21"/>
  <c r="J58" i="21"/>
  <c r="K58" i="21"/>
  <c r="F121" i="21"/>
  <c r="D121" i="21"/>
  <c r="D64" i="21"/>
  <c r="J55" i="21"/>
  <c r="J56" i="21"/>
  <c r="K56" i="21"/>
  <c r="J19" i="21"/>
  <c r="J17" i="21"/>
  <c r="J18" i="21"/>
  <c r="K18" i="21"/>
  <c r="D62" i="21"/>
  <c r="D60" i="21"/>
  <c r="D56" i="21"/>
  <c r="D53" i="21"/>
  <c r="D48" i="21"/>
  <c r="D51" i="21"/>
  <c r="D45" i="21"/>
  <c r="C42" i="21"/>
  <c r="C37" i="21"/>
  <c r="C34" i="21"/>
  <c r="D28" i="21"/>
  <c r="C24" i="21"/>
  <c r="D20" i="21"/>
  <c r="D19" i="21"/>
  <c r="D18" i="21"/>
  <c r="J53" i="21"/>
  <c r="J54" i="21"/>
  <c r="K54" i="21"/>
  <c r="J51" i="21"/>
  <c r="J52" i="21"/>
  <c r="K52" i="21"/>
  <c r="J49" i="21"/>
  <c r="J50" i="21"/>
  <c r="K50" i="21"/>
  <c r="J47" i="21"/>
  <c r="J48" i="21"/>
  <c r="K48" i="21"/>
  <c r="J45" i="21"/>
  <c r="J46" i="21"/>
  <c r="K46" i="21"/>
  <c r="J43" i="21"/>
  <c r="J44" i="21"/>
  <c r="K44" i="21"/>
  <c r="J41" i="21"/>
  <c r="J42" i="21"/>
  <c r="K42" i="21"/>
  <c r="J39" i="21"/>
  <c r="J40" i="21"/>
  <c r="K40" i="21"/>
  <c r="J37" i="21"/>
  <c r="J38" i="21"/>
  <c r="K38" i="21"/>
  <c r="J35" i="21"/>
  <c r="J36" i="21"/>
  <c r="K36" i="21"/>
  <c r="J33" i="21"/>
  <c r="J34" i="21"/>
  <c r="K34" i="21"/>
  <c r="J31" i="21"/>
  <c r="J32" i="21"/>
  <c r="K32" i="21"/>
  <c r="J29" i="21"/>
  <c r="J30" i="21"/>
  <c r="K30" i="21"/>
  <c r="J27" i="21"/>
  <c r="J28" i="21"/>
  <c r="K28" i="21"/>
  <c r="J25" i="21"/>
  <c r="J26" i="21"/>
  <c r="K26" i="21"/>
  <c r="J21" i="21"/>
  <c r="J22" i="21"/>
  <c r="K22" i="21"/>
  <c r="J20" i="21"/>
  <c r="K20" i="21"/>
  <c r="J15" i="21"/>
  <c r="J16" i="21"/>
  <c r="K16" i="21"/>
  <c r="J13" i="21"/>
  <c r="B13" i="21"/>
  <c r="D1346" i="17"/>
  <c r="D1343" i="17"/>
  <c r="D1340" i="17"/>
  <c r="J1345" i="17"/>
  <c r="J1346" i="17"/>
  <c r="K1346" i="17"/>
  <c r="J1342" i="17"/>
  <c r="J1343" i="17"/>
  <c r="K1343" i="17"/>
  <c r="J1340" i="17"/>
  <c r="J1341" i="17"/>
  <c r="K1341" i="17"/>
  <c r="J1333" i="17"/>
  <c r="B1334" i="17"/>
  <c r="J1330" i="17"/>
  <c r="K1330" i="17"/>
  <c r="J1329" i="17"/>
  <c r="K1329" i="17"/>
  <c r="J1322" i="17"/>
  <c r="K1322" i="17"/>
  <c r="J1325" i="17"/>
  <c r="B1326" i="17"/>
  <c r="J1321" i="17"/>
  <c r="K1321" i="17"/>
  <c r="J1317" i="17"/>
  <c r="B1318" i="17"/>
  <c r="E1307" i="17"/>
  <c r="E1306" i="17"/>
  <c r="E1305" i="17"/>
  <c r="E1304" i="17"/>
  <c r="E1303" i="17"/>
  <c r="E1302" i="17"/>
  <c r="J1304" i="17"/>
  <c r="K1304" i="17"/>
  <c r="J1307" i="17"/>
  <c r="K1307" i="17"/>
  <c r="J1306" i="17"/>
  <c r="K1306" i="17"/>
  <c r="J1305" i="17"/>
  <c r="K1305" i="17"/>
  <c r="J1303" i="17"/>
  <c r="K1303" i="17"/>
  <c r="J1302" i="17"/>
  <c r="K1302" i="17"/>
  <c r="G1298" i="17"/>
  <c r="J1298" i="17"/>
  <c r="K1298" i="17"/>
  <c r="J1297" i="17"/>
  <c r="K1297" i="17"/>
  <c r="J1287" i="17"/>
  <c r="B1288" i="17"/>
  <c r="J1286" i="17"/>
  <c r="K1286" i="17"/>
  <c r="J1285" i="17"/>
  <c r="K1285" i="17"/>
  <c r="J1284" i="17"/>
  <c r="K1284" i="17"/>
  <c r="J1283" i="17"/>
  <c r="K1283" i="17"/>
  <c r="J1279" i="17"/>
  <c r="B1280" i="17"/>
  <c r="J1268" i="17"/>
  <c r="J1269" i="17"/>
  <c r="K1269" i="17"/>
  <c r="J1237" i="17"/>
  <c r="B1238" i="17"/>
  <c r="J1235" i="17"/>
  <c r="J1236" i="17"/>
  <c r="K1236" i="17"/>
  <c r="J1233" i="17"/>
  <c r="J1234" i="17"/>
  <c r="K1234" i="17"/>
  <c r="J1226" i="17"/>
  <c r="J1227" i="17"/>
  <c r="K1227" i="17"/>
  <c r="J1224" i="17"/>
  <c r="J1225" i="17"/>
  <c r="K1225" i="17"/>
  <c r="D1212" i="17"/>
  <c r="D1211" i="17"/>
  <c r="D1210" i="17"/>
  <c r="D1209" i="17"/>
  <c r="D1208" i="17"/>
  <c r="D1154" i="17"/>
  <c r="D1153" i="17"/>
  <c r="D1152" i="17"/>
  <c r="D1151" i="17"/>
  <c r="D1150" i="17"/>
  <c r="J1154" i="17"/>
  <c r="K1154" i="17"/>
  <c r="J1153" i="17"/>
  <c r="K1153" i="17"/>
  <c r="J1152" i="17"/>
  <c r="K1152" i="17"/>
  <c r="J1151" i="17"/>
  <c r="K1151" i="17"/>
  <c r="J1150" i="17"/>
  <c r="K1150" i="17"/>
  <c r="J1192" i="17"/>
  <c r="J1199" i="17"/>
  <c r="K1199" i="17"/>
  <c r="J1198" i="17"/>
  <c r="K1198" i="17"/>
  <c r="B1202" i="17"/>
  <c r="J1200" i="17"/>
  <c r="K1200" i="17"/>
  <c r="J1197" i="17"/>
  <c r="K1197" i="17"/>
  <c r="J1190" i="17"/>
  <c r="K1190" i="17"/>
  <c r="J1189" i="17"/>
  <c r="K1189" i="17"/>
  <c r="B1194" i="17"/>
  <c r="J1188" i="17"/>
  <c r="K1188" i="17"/>
  <c r="J1187" i="17"/>
  <c r="K1187" i="17"/>
  <c r="J1182" i="17"/>
  <c r="J1179" i="17"/>
  <c r="K1179" i="17"/>
  <c r="J1180" i="17"/>
  <c r="K1180" i="17"/>
  <c r="B1184" i="17"/>
  <c r="J1178" i="17"/>
  <c r="K1178" i="17"/>
  <c r="J1177" i="17"/>
  <c r="K1177" i="17"/>
  <c r="J1172" i="17"/>
  <c r="B1174" i="17"/>
  <c r="J1169" i="17"/>
  <c r="K1169" i="17"/>
  <c r="J1170" i="17"/>
  <c r="K1170" i="17"/>
  <c r="J1171" i="17"/>
  <c r="K1171" i="17"/>
  <c r="J1168" i="17"/>
  <c r="K1168" i="17"/>
  <c r="D1141" i="17"/>
  <c r="D1139" i="17"/>
  <c r="D1136" i="17"/>
  <c r="D1133" i="17"/>
  <c r="D1130" i="17"/>
  <c r="J1121" i="17"/>
  <c r="J1119" i="17"/>
  <c r="K1119" i="17"/>
  <c r="J1118" i="17"/>
  <c r="K1118" i="17"/>
  <c r="B1122" i="17"/>
  <c r="J1120" i="17"/>
  <c r="K1120" i="17"/>
  <c r="J1117" i="17"/>
  <c r="K1117" i="17"/>
  <c r="J1093" i="17"/>
  <c r="J1094" i="17"/>
  <c r="K1094" i="17"/>
  <c r="F1095" i="17"/>
  <c r="J1083" i="17"/>
  <c r="B1084" i="17"/>
  <c r="J1076" i="17"/>
  <c r="K1076" i="17"/>
  <c r="J1072" i="17"/>
  <c r="B1074" i="17"/>
  <c r="J1068" i="17"/>
  <c r="K1068" i="17"/>
  <c r="J1069" i="17"/>
  <c r="K1069" i="17"/>
  <c r="J1070" i="17"/>
  <c r="K1070" i="17"/>
  <c r="J1067" i="17"/>
  <c r="K1067" i="17"/>
  <c r="J1063" i="17"/>
  <c r="B1064" i="17"/>
  <c r="J1062" i="17"/>
  <c r="K1062" i="17"/>
  <c r="J1061" i="17"/>
  <c r="K1061" i="17"/>
  <c r="J1060" i="17"/>
  <c r="K1060" i="17"/>
  <c r="J1059" i="17"/>
  <c r="K1059" i="17"/>
  <c r="J1049" i="17"/>
  <c r="J1046" i="17"/>
  <c r="K1046" i="17"/>
  <c r="J1043" i="17"/>
  <c r="K1043" i="17"/>
  <c r="J1041" i="17"/>
  <c r="K1041" i="17"/>
  <c r="K1049" i="17"/>
  <c r="J1039" i="17"/>
  <c r="K1039" i="17"/>
  <c r="J1016" i="17"/>
  <c r="K1016" i="17"/>
  <c r="J1022" i="17"/>
  <c r="J1023" i="17"/>
  <c r="K1023" i="17"/>
  <c r="D1026" i="17"/>
  <c r="J1030" i="17"/>
  <c r="B1031" i="17"/>
  <c r="J1013" i="17"/>
  <c r="K1013" i="17"/>
  <c r="J1015" i="17"/>
  <c r="K1015" i="17"/>
  <c r="J1014" i="17"/>
  <c r="K1014" i="17"/>
  <c r="G1008" i="17"/>
  <c r="J1004" i="17"/>
  <c r="J1005" i="17"/>
  <c r="K1005" i="17"/>
  <c r="J964" i="17"/>
  <c r="J965" i="17"/>
  <c r="K965" i="17"/>
  <c r="G967" i="17"/>
  <c r="J966" i="17"/>
  <c r="J967" i="17"/>
  <c r="K967" i="17"/>
  <c r="F967" i="17"/>
  <c r="J968" i="17"/>
  <c r="J969" i="17"/>
  <c r="K969" i="17"/>
  <c r="G965" i="17"/>
  <c r="J962" i="17"/>
  <c r="J963" i="17"/>
  <c r="K963" i="17"/>
  <c r="F965" i="17"/>
  <c r="J997" i="17"/>
  <c r="K997" i="17"/>
  <c r="J999" i="17"/>
  <c r="K999" i="17"/>
  <c r="J1000" i="17"/>
  <c r="K1000" i="17"/>
  <c r="J998" i="17"/>
  <c r="K998" i="17"/>
  <c r="J991" i="17"/>
  <c r="F989" i="17"/>
  <c r="J988" i="17"/>
  <c r="J989" i="17"/>
  <c r="K989" i="17"/>
  <c r="J984" i="17"/>
  <c r="B986" i="17"/>
  <c r="K982" i="17"/>
  <c r="J981" i="17"/>
  <c r="J977" i="17"/>
  <c r="K977" i="17"/>
  <c r="J974" i="17"/>
  <c r="K974" i="17"/>
  <c r="J979" i="17"/>
  <c r="B979" i="17"/>
  <c r="J976" i="17"/>
  <c r="K976" i="17"/>
  <c r="J975" i="17"/>
  <c r="K975" i="17"/>
  <c r="J971" i="17"/>
  <c r="B971" i="17"/>
  <c r="J960" i="17"/>
  <c r="J957" i="17"/>
  <c r="J954" i="17"/>
  <c r="J952" i="17"/>
  <c r="J949" i="17"/>
  <c r="J946" i="17"/>
  <c r="J936" i="17"/>
  <c r="K936" i="17"/>
  <c r="J935" i="17"/>
  <c r="K935" i="17"/>
  <c r="J938" i="17"/>
  <c r="K938" i="17"/>
  <c r="J937" i="17"/>
  <c r="K937" i="17"/>
  <c r="J934" i="17"/>
  <c r="K934" i="17"/>
  <c r="K923" i="17"/>
  <c r="J922" i="17"/>
  <c r="K915" i="17"/>
  <c r="J914" i="17"/>
  <c r="D537" i="18"/>
  <c r="D527" i="18"/>
  <c r="D525" i="18"/>
  <c r="D522" i="18"/>
  <c r="D521" i="18"/>
  <c r="D520" i="18"/>
  <c r="D519" i="18"/>
  <c r="D518" i="18"/>
  <c r="J908" i="17"/>
  <c r="J909" i="17"/>
  <c r="K909" i="17"/>
  <c r="E908" i="17"/>
  <c r="E907" i="17"/>
  <c r="J906" i="17"/>
  <c r="J907" i="17"/>
  <c r="K907" i="17"/>
  <c r="J904" i="17"/>
  <c r="J905" i="17"/>
  <c r="K905" i="17"/>
  <c r="J901" i="17"/>
  <c r="J897" i="17"/>
  <c r="K897" i="17"/>
  <c r="J899" i="17"/>
  <c r="K899" i="17"/>
  <c r="B902" i="17"/>
  <c r="J898" i="17"/>
  <c r="K898" i="17"/>
  <c r="J896" i="17"/>
  <c r="K896" i="17"/>
  <c r="D889" i="17"/>
  <c r="D888" i="17"/>
  <c r="D887" i="17"/>
  <c r="D886" i="17"/>
  <c r="D885" i="17"/>
  <c r="D884" i="17"/>
  <c r="J890" i="17"/>
  <c r="J891" i="17"/>
  <c r="K891" i="17"/>
  <c r="J888" i="17"/>
  <c r="J889" i="17"/>
  <c r="K889" i="17"/>
  <c r="J884" i="17"/>
  <c r="J885" i="17"/>
  <c r="K885" i="17"/>
  <c r="J882" i="17"/>
  <c r="J883" i="17"/>
  <c r="K883" i="17"/>
  <c r="J886" i="17"/>
  <c r="J887" i="17"/>
  <c r="K887" i="17"/>
  <c r="J880" i="17"/>
  <c r="J881" i="17"/>
  <c r="K881" i="17"/>
  <c r="B892" i="17"/>
  <c r="J868" i="17"/>
  <c r="K868" i="17"/>
  <c r="J867" i="17"/>
  <c r="K867" i="17"/>
  <c r="J866" i="17"/>
  <c r="K866" i="17"/>
  <c r="J862" i="17"/>
  <c r="J859" i="17"/>
  <c r="K859" i="17"/>
  <c r="J858" i="17"/>
  <c r="K858" i="17"/>
  <c r="B863" i="17"/>
  <c r="J860" i="17"/>
  <c r="K860" i="17"/>
  <c r="J857" i="17"/>
  <c r="K857" i="17"/>
  <c r="J849" i="17"/>
  <c r="K849" i="17"/>
  <c r="J850" i="17"/>
  <c r="K850" i="17"/>
  <c r="J852" i="17"/>
  <c r="B853" i="17"/>
  <c r="J848" i="17"/>
  <c r="K848" i="17"/>
  <c r="J847" i="17"/>
  <c r="K847" i="17"/>
  <c r="J831" i="17"/>
  <c r="K831" i="17"/>
  <c r="J829" i="17"/>
  <c r="K829" i="17"/>
  <c r="J833" i="17"/>
  <c r="B833" i="17"/>
  <c r="J830" i="17"/>
  <c r="K830" i="17"/>
  <c r="J828" i="17"/>
  <c r="K828" i="17"/>
  <c r="G819" i="17"/>
  <c r="D821" i="17"/>
  <c r="J821" i="17"/>
  <c r="J822" i="17"/>
  <c r="K822" i="17"/>
  <c r="J817" i="17"/>
  <c r="J818" i="17"/>
  <c r="K818" i="17"/>
  <c r="J815" i="17"/>
  <c r="B815" i="17"/>
  <c r="J802" i="17"/>
  <c r="J803" i="17"/>
  <c r="K803" i="17"/>
  <c r="J800" i="17"/>
  <c r="J796" i="17"/>
  <c r="K796" i="17"/>
  <c r="J797" i="17"/>
  <c r="K797" i="17"/>
  <c r="B800" i="17"/>
  <c r="J798" i="17"/>
  <c r="K798" i="17"/>
  <c r="J795" i="17"/>
  <c r="K795" i="17"/>
  <c r="J791" i="17"/>
  <c r="B791" i="17"/>
  <c r="J788" i="17"/>
  <c r="K788" i="17"/>
  <c r="J786" i="17"/>
  <c r="K786" i="17"/>
  <c r="J789" i="17"/>
  <c r="K789" i="17"/>
  <c r="J787" i="17"/>
  <c r="K787" i="17"/>
  <c r="J782" i="17"/>
  <c r="B782" i="17"/>
  <c r="J778" i="17"/>
  <c r="J779" i="17"/>
  <c r="K779" i="17"/>
  <c r="J776" i="17"/>
  <c r="J777" i="17"/>
  <c r="K777" i="17"/>
  <c r="J774" i="17"/>
  <c r="J775" i="17"/>
  <c r="K775" i="17"/>
  <c r="J772" i="17"/>
  <c r="J773" i="17"/>
  <c r="K773" i="17"/>
  <c r="J762" i="17"/>
  <c r="K762" i="17"/>
  <c r="J761" i="17"/>
  <c r="K761" i="17"/>
  <c r="J760" i="17"/>
  <c r="K760" i="17"/>
  <c r="J757" i="17"/>
  <c r="B757" i="17"/>
  <c r="J655" i="17"/>
  <c r="K655" i="17"/>
  <c r="J752" i="17"/>
  <c r="K752" i="17"/>
  <c r="J755" i="17"/>
  <c r="K755" i="17"/>
  <c r="J754" i="17"/>
  <c r="K754" i="17"/>
  <c r="J753" i="17"/>
  <c r="K753" i="17"/>
  <c r="J747" i="17"/>
  <c r="B748" i="17"/>
  <c r="J741" i="17"/>
  <c r="J742" i="17"/>
  <c r="K742" i="17"/>
  <c r="J739" i="17"/>
  <c r="J740" i="17"/>
  <c r="K740" i="17"/>
  <c r="J737" i="17"/>
  <c r="J738" i="17"/>
  <c r="K738" i="17"/>
  <c r="J735" i="17"/>
  <c r="J736" i="17"/>
  <c r="K736" i="17"/>
  <c r="J242" i="18"/>
  <c r="B258" i="18"/>
  <c r="E691" i="17"/>
  <c r="J687" i="17"/>
  <c r="J688" i="17"/>
  <c r="K688" i="17"/>
  <c r="D681" i="17"/>
  <c r="C681" i="17"/>
  <c r="J682" i="17"/>
  <c r="J683" i="17"/>
  <c r="K683" i="17"/>
  <c r="J680" i="17"/>
  <c r="J681" i="17"/>
  <c r="K681" i="17"/>
  <c r="J678" i="17"/>
  <c r="J679" i="17"/>
  <c r="K679" i="17"/>
  <c r="J676" i="17"/>
  <c r="J677" i="17"/>
  <c r="K677" i="17"/>
  <c r="J674" i="17"/>
  <c r="J675" i="17"/>
  <c r="K675" i="17"/>
  <c r="J672" i="17"/>
  <c r="J673" i="17"/>
  <c r="K673" i="17"/>
  <c r="J670" i="17"/>
  <c r="B670" i="17"/>
  <c r="J667" i="17"/>
  <c r="J668" i="17"/>
  <c r="K668" i="17"/>
  <c r="J665" i="17"/>
  <c r="J666" i="17"/>
  <c r="K666" i="17"/>
  <c r="J661" i="17"/>
  <c r="J662" i="17"/>
  <c r="K662" i="17"/>
  <c r="J663" i="17"/>
  <c r="J664" i="17"/>
  <c r="K664" i="17"/>
  <c r="J658" i="17"/>
  <c r="B659" i="17"/>
  <c r="J652" i="17"/>
  <c r="K652" i="17"/>
  <c r="J654" i="17"/>
  <c r="K654" i="17"/>
  <c r="J653" i="17"/>
  <c r="K653" i="17"/>
  <c r="J648" i="17"/>
  <c r="B648" i="17"/>
  <c r="J643" i="17"/>
  <c r="K643" i="17"/>
  <c r="J645" i="17"/>
  <c r="K645" i="17"/>
  <c r="J644" i="17"/>
  <c r="K644" i="17"/>
  <c r="J642" i="17"/>
  <c r="K642" i="17"/>
  <c r="J641" i="17"/>
  <c r="K641" i="17"/>
  <c r="J640" i="17"/>
  <c r="K640" i="17"/>
  <c r="J631" i="17"/>
  <c r="B631" i="17"/>
  <c r="J624" i="17"/>
  <c r="J625" i="17"/>
  <c r="K625" i="17"/>
  <c r="J628" i="17"/>
  <c r="J629" i="17"/>
  <c r="K629" i="17"/>
  <c r="J626" i="17"/>
  <c r="J627" i="17"/>
  <c r="K627" i="17"/>
  <c r="J621" i="17"/>
  <c r="J355" i="17"/>
  <c r="K355" i="17"/>
  <c r="J367" i="17"/>
  <c r="K367" i="17"/>
  <c r="J379" i="17"/>
  <c r="K379" i="17"/>
  <c r="J468" i="17"/>
  <c r="K468" i="17"/>
  <c r="J578" i="17"/>
  <c r="K578" i="17"/>
  <c r="J614" i="17"/>
  <c r="K614" i="17"/>
  <c r="J615" i="17"/>
  <c r="K615" i="17"/>
  <c r="B622" i="17"/>
  <c r="J617" i="17"/>
  <c r="K617" i="17"/>
  <c r="J616" i="17"/>
  <c r="K616" i="17"/>
  <c r="J609" i="17"/>
  <c r="B610" i="17"/>
  <c r="J606" i="17"/>
  <c r="J604" i="17"/>
  <c r="J602" i="17"/>
  <c r="J603" i="17"/>
  <c r="K603" i="17"/>
  <c r="J600" i="17"/>
  <c r="J601" i="17"/>
  <c r="K601" i="17"/>
  <c r="J607" i="17"/>
  <c r="K607" i="17"/>
  <c r="J605" i="17"/>
  <c r="K605" i="17"/>
  <c r="J594" i="17"/>
  <c r="B595" i="17"/>
  <c r="J591" i="17"/>
  <c r="J592" i="17"/>
  <c r="K592" i="17"/>
  <c r="J589" i="17"/>
  <c r="J590" i="17"/>
  <c r="K590" i="17"/>
  <c r="J579" i="17"/>
  <c r="K579" i="17"/>
  <c r="J580" i="17"/>
  <c r="J585" i="17"/>
  <c r="B586" i="17"/>
  <c r="J581" i="17"/>
  <c r="K581" i="17"/>
  <c r="K580" i="17"/>
  <c r="J570" i="17"/>
  <c r="B571" i="17"/>
  <c r="J567" i="17"/>
  <c r="J568" i="17"/>
  <c r="K568" i="17"/>
  <c r="J565" i="17"/>
  <c r="J566" i="17"/>
  <c r="K566" i="17"/>
  <c r="J522" i="17"/>
  <c r="J523" i="17"/>
  <c r="K523" i="17"/>
  <c r="J526" i="17"/>
  <c r="J527" i="17"/>
  <c r="K527" i="17"/>
  <c r="J524" i="17"/>
  <c r="J525" i="17"/>
  <c r="K525" i="17"/>
  <c r="J519" i="17"/>
  <c r="J516" i="17"/>
  <c r="J517" i="17"/>
  <c r="K517" i="17"/>
  <c r="J514" i="17"/>
  <c r="J515" i="17"/>
  <c r="K515" i="17"/>
  <c r="J512" i="17"/>
  <c r="J513" i="17"/>
  <c r="K513" i="17"/>
  <c r="B519" i="17"/>
  <c r="J510" i="17"/>
  <c r="B509" i="17"/>
  <c r="J507" i="17"/>
  <c r="J508" i="17"/>
  <c r="K508" i="17"/>
  <c r="J503" i="17"/>
  <c r="J504" i="17"/>
  <c r="K504" i="17"/>
  <c r="J505" i="17"/>
  <c r="J506" i="17"/>
  <c r="K506" i="17"/>
  <c r="J492" i="17"/>
  <c r="K492" i="17"/>
  <c r="J493" i="17"/>
  <c r="K493" i="17"/>
  <c r="J498" i="17"/>
  <c r="B500" i="17"/>
  <c r="J497" i="17"/>
  <c r="B499" i="17"/>
  <c r="J491" i="17"/>
  <c r="K491" i="17"/>
  <c r="J490" i="17"/>
  <c r="K490" i="17"/>
  <c r="J486" i="17"/>
  <c r="B486" i="17"/>
  <c r="J483" i="17"/>
  <c r="J484" i="17"/>
  <c r="K484" i="17"/>
  <c r="J481" i="17"/>
  <c r="J482" i="17"/>
  <c r="K482" i="17"/>
  <c r="J479" i="17"/>
  <c r="J480" i="17"/>
  <c r="K480" i="17"/>
  <c r="J477" i="17"/>
  <c r="J478" i="17"/>
  <c r="K478" i="17"/>
  <c r="J469" i="17"/>
  <c r="J470" i="17"/>
  <c r="K470" i="17"/>
  <c r="J475" i="17"/>
  <c r="B476" i="17"/>
  <c r="J471" i="17"/>
  <c r="K471" i="17"/>
  <c r="K469" i="17"/>
  <c r="J461" i="17"/>
  <c r="J462" i="17"/>
  <c r="K462" i="17"/>
  <c r="J453" i="17"/>
  <c r="J454" i="17"/>
  <c r="K454" i="17"/>
  <c r="J464" i="17"/>
  <c r="B464" i="17"/>
  <c r="G463" i="17"/>
  <c r="G462" i="17"/>
  <c r="F461" i="17"/>
  <c r="F460" i="17"/>
  <c r="E458" i="17"/>
  <c r="E459" i="17"/>
  <c r="G457" i="17"/>
  <c r="G456" i="17"/>
  <c r="E455" i="17"/>
  <c r="E454" i="17"/>
  <c r="J458" i="17"/>
  <c r="J459" i="17"/>
  <c r="K459" i="17"/>
  <c r="J450" i="17"/>
  <c r="B450" i="17"/>
  <c r="J442" i="17"/>
  <c r="D442" i="17"/>
  <c r="J447" i="17"/>
  <c r="D447" i="17"/>
  <c r="J444" i="17"/>
  <c r="D444" i="17"/>
  <c r="J445" i="17"/>
  <c r="K445" i="17"/>
  <c r="J437" i="17"/>
  <c r="B437" i="17"/>
  <c r="J433" i="17"/>
  <c r="K433" i="17"/>
  <c r="J431" i="17"/>
  <c r="K431" i="17"/>
  <c r="J434" i="17"/>
  <c r="K434" i="17"/>
  <c r="J432" i="17"/>
  <c r="K432" i="17"/>
  <c r="J238" i="17"/>
  <c r="K238" i="17"/>
  <c r="J237" i="17"/>
  <c r="K237" i="17"/>
  <c r="J408" i="17"/>
  <c r="K408" i="17"/>
  <c r="J406" i="17"/>
  <c r="K406" i="17"/>
  <c r="J400" i="17"/>
  <c r="K400" i="17"/>
  <c r="J397" i="17"/>
  <c r="K397" i="17"/>
  <c r="G422" i="17"/>
  <c r="D426" i="17"/>
  <c r="J387" i="17"/>
  <c r="B387" i="17"/>
  <c r="J417" i="17"/>
  <c r="J418" i="17"/>
  <c r="K418" i="17"/>
  <c r="J414" i="17"/>
  <c r="J415" i="17"/>
  <c r="K415" i="17"/>
  <c r="J410" i="17"/>
  <c r="K410" i="17"/>
  <c r="J404" i="17"/>
  <c r="K404" i="17"/>
  <c r="J402" i="17"/>
  <c r="K402" i="17"/>
  <c r="J398" i="17"/>
  <c r="K398" i="17"/>
  <c r="J395" i="17"/>
  <c r="K395" i="17"/>
  <c r="J394" i="17"/>
  <c r="K394" i="17"/>
  <c r="J392" i="17"/>
  <c r="K392" i="17"/>
  <c r="J380" i="17"/>
  <c r="K380" i="17"/>
  <c r="J381" i="17"/>
  <c r="K381" i="17"/>
  <c r="J382" i="17"/>
  <c r="K382" i="17"/>
  <c r="J375" i="17"/>
  <c r="B375" i="17"/>
  <c r="J368" i="17"/>
  <c r="K368" i="17"/>
  <c r="J369" i="17"/>
  <c r="K369" i="17"/>
  <c r="J370" i="17"/>
  <c r="K370" i="17"/>
  <c r="J363" i="17"/>
  <c r="B363" i="17"/>
  <c r="J356" i="17"/>
  <c r="K356" i="17"/>
  <c r="J358" i="17"/>
  <c r="K358" i="17"/>
  <c r="J357" i="17"/>
  <c r="K357" i="17"/>
  <c r="J350" i="17"/>
  <c r="K350" i="17"/>
  <c r="J349" i="17"/>
  <c r="K349" i="17"/>
  <c r="J348" i="17"/>
  <c r="K348" i="17"/>
  <c r="J345" i="17"/>
  <c r="K345" i="17"/>
  <c r="J344" i="17"/>
  <c r="K344" i="17"/>
  <c r="J347" i="17"/>
  <c r="K347" i="17"/>
  <c r="J346" i="17"/>
  <c r="K346" i="17"/>
  <c r="J343" i="17"/>
  <c r="K343" i="17"/>
  <c r="J336" i="17"/>
  <c r="K336" i="17"/>
  <c r="J335" i="17"/>
  <c r="K335" i="17"/>
  <c r="J333" i="17"/>
  <c r="K333" i="17"/>
  <c r="F331" i="17"/>
  <c r="F330" i="17"/>
  <c r="F329" i="17"/>
  <c r="F336" i="17"/>
  <c r="F335" i="17"/>
  <c r="F334" i="17"/>
  <c r="F333" i="17"/>
  <c r="F332" i="17"/>
  <c r="J334" i="17"/>
  <c r="K334" i="17"/>
  <c r="J332" i="17"/>
  <c r="K332" i="17"/>
  <c r="F309" i="17"/>
  <c r="F308" i="17"/>
  <c r="F307" i="17"/>
  <c r="F317" i="17"/>
  <c r="F314" i="17"/>
  <c r="F312" i="17"/>
  <c r="F310" i="17"/>
  <c r="J317" i="17"/>
  <c r="K317" i="17"/>
  <c r="J310" i="17"/>
  <c r="K310" i="17"/>
  <c r="J314" i="17"/>
  <c r="K314" i="17"/>
  <c r="J312" i="17"/>
  <c r="K312" i="17"/>
  <c r="E290" i="17"/>
  <c r="E288" i="17"/>
  <c r="E300" i="17"/>
  <c r="E298" i="17"/>
  <c r="E296" i="17"/>
  <c r="E294" i="17"/>
  <c r="E292" i="17"/>
  <c r="E291" i="17"/>
  <c r="B303" i="17"/>
  <c r="J294" i="17"/>
  <c r="J295" i="17"/>
  <c r="K295" i="17"/>
  <c r="J292" i="17"/>
  <c r="J293" i="17"/>
  <c r="K293" i="17"/>
  <c r="J290" i="17"/>
  <c r="J291" i="17"/>
  <c r="K291" i="17"/>
  <c r="J288" i="17"/>
  <c r="J289" i="17"/>
  <c r="K289" i="17"/>
  <c r="J286" i="17"/>
  <c r="J287" i="17"/>
  <c r="K287" i="17"/>
  <c r="J284" i="17"/>
  <c r="J285" i="17"/>
  <c r="K285" i="17"/>
  <c r="J279" i="17"/>
  <c r="K279" i="17"/>
  <c r="J273" i="17"/>
  <c r="K273" i="17"/>
  <c r="J271" i="17"/>
  <c r="K271" i="17"/>
  <c r="J255" i="17"/>
  <c r="B255" i="17"/>
  <c r="J250" i="17"/>
  <c r="K250" i="17"/>
  <c r="J247" i="17"/>
  <c r="K247" i="17"/>
  <c r="J249" i="17"/>
  <c r="K249" i="17"/>
  <c r="J248" i="17"/>
  <c r="K248" i="17"/>
  <c r="J231" i="17"/>
  <c r="B231" i="17"/>
  <c r="J228" i="17"/>
  <c r="J229" i="17"/>
  <c r="K229" i="17"/>
  <c r="J226" i="17"/>
  <c r="J227" i="17"/>
  <c r="K227" i="17"/>
  <c r="J224" i="17"/>
  <c r="J225" i="17"/>
  <c r="K225" i="17"/>
  <c r="J221" i="17"/>
  <c r="B221" i="17"/>
  <c r="J216" i="17"/>
  <c r="K216" i="17"/>
  <c r="J214" i="17"/>
  <c r="K214" i="17"/>
  <c r="J215" i="17"/>
  <c r="K215" i="17"/>
  <c r="J213" i="17"/>
  <c r="K213" i="17"/>
  <c r="J209" i="17"/>
  <c r="B209" i="17"/>
  <c r="J203" i="17"/>
  <c r="K203" i="17"/>
  <c r="J202" i="17"/>
  <c r="K202" i="17"/>
  <c r="J204" i="17"/>
  <c r="K204" i="17"/>
  <c r="J201" i="17"/>
  <c r="K201" i="17"/>
  <c r="J193" i="17"/>
  <c r="B193" i="17"/>
  <c r="J188" i="17"/>
  <c r="J189" i="17"/>
  <c r="K189" i="17"/>
  <c r="J185" i="17"/>
  <c r="J186" i="17"/>
  <c r="K186" i="17"/>
  <c r="J183" i="17"/>
  <c r="J184" i="17"/>
  <c r="K184" i="17"/>
  <c r="J181" i="17"/>
  <c r="J182" i="17"/>
  <c r="K182" i="17"/>
  <c r="J179" i="17"/>
  <c r="J180" i="17"/>
  <c r="K180" i="17"/>
  <c r="J176" i="17"/>
  <c r="B176" i="17"/>
  <c r="J168" i="17"/>
  <c r="K168" i="17"/>
  <c r="J170" i="17"/>
  <c r="K170" i="17"/>
  <c r="J171" i="17"/>
  <c r="K171" i="17"/>
  <c r="J169" i="17"/>
  <c r="K169" i="17"/>
  <c r="J164" i="17"/>
  <c r="B164" i="17"/>
  <c r="J157" i="17"/>
  <c r="K157" i="17"/>
  <c r="J159" i="17"/>
  <c r="K159" i="17"/>
  <c r="J160" i="17"/>
  <c r="K160" i="17"/>
  <c r="J158" i="17"/>
  <c r="K158" i="17"/>
  <c r="J131" i="17"/>
  <c r="B131" i="17"/>
  <c r="J120" i="17"/>
  <c r="B120" i="17"/>
  <c r="J110" i="17"/>
  <c r="B110" i="17"/>
  <c r="J103" i="17"/>
  <c r="J104" i="17"/>
  <c r="K104" i="17"/>
  <c r="J101" i="17"/>
  <c r="J102" i="17"/>
  <c r="K102" i="17"/>
  <c r="J99" i="17"/>
  <c r="J100" i="17"/>
  <c r="K100" i="17"/>
  <c r="J96" i="17"/>
  <c r="B96" i="17"/>
  <c r="J92" i="17"/>
  <c r="K92" i="17"/>
  <c r="J91" i="17"/>
  <c r="K91" i="17"/>
  <c r="J90" i="17"/>
  <c r="K90" i="17"/>
  <c r="J89" i="17"/>
  <c r="K89" i="17"/>
  <c r="J84" i="17"/>
  <c r="B84" i="17"/>
  <c r="J79" i="17"/>
  <c r="K79" i="17"/>
  <c r="J78" i="17"/>
  <c r="K78" i="17"/>
  <c r="J77" i="17"/>
  <c r="K77" i="17"/>
  <c r="J65" i="17"/>
  <c r="B65" i="17"/>
  <c r="J18" i="17"/>
  <c r="B18" i="17"/>
  <c r="J15" i="17"/>
  <c r="D15" i="17"/>
  <c r="J14" i="17"/>
  <c r="K14" i="17"/>
  <c r="J13" i="17"/>
  <c r="K13" i="17"/>
  <c r="D12" i="17"/>
  <c r="J27" i="17"/>
  <c r="B27" i="17"/>
  <c r="J74" i="17"/>
  <c r="B73" i="17"/>
  <c r="J25" i="17"/>
  <c r="J26" i="17"/>
  <c r="K26" i="17"/>
  <c r="J23" i="17"/>
  <c r="J24" i="17"/>
  <c r="K24" i="17"/>
  <c r="J21" i="17"/>
  <c r="J22" i="17"/>
  <c r="K22" i="17"/>
  <c r="J19" i="17"/>
  <c r="J20" i="17"/>
  <c r="K20" i="17"/>
  <c r="J59" i="17"/>
  <c r="K59" i="17"/>
  <c r="J58" i="17"/>
  <c r="K58" i="17"/>
  <c r="J60" i="17"/>
  <c r="K60" i="17"/>
  <c r="D43" i="17"/>
  <c r="D46" i="17"/>
  <c r="D45" i="17"/>
  <c r="D44" i="17"/>
  <c r="J39" i="17"/>
  <c r="J40" i="17"/>
  <c r="K40" i="17"/>
  <c r="D39" i="17"/>
  <c r="J43" i="17"/>
  <c r="J44" i="17"/>
  <c r="K44" i="17"/>
  <c r="D41" i="17"/>
  <c r="J41" i="17"/>
  <c r="J42" i="17"/>
  <c r="K42" i="17"/>
  <c r="D40" i="17"/>
  <c r="G33" i="17"/>
  <c r="E33" i="17"/>
  <c r="H33" i="17"/>
  <c r="F33" i="17"/>
  <c r="D33" i="17"/>
  <c r="J34" i="17"/>
  <c r="J35" i="17"/>
  <c r="K35" i="17"/>
  <c r="J32" i="17"/>
  <c r="J33" i="17"/>
  <c r="K33" i="17"/>
  <c r="J30" i="17"/>
  <c r="J31" i="17"/>
  <c r="K31" i="17"/>
  <c r="L362" i="1"/>
  <c r="J331" i="1"/>
  <c r="B331" i="1"/>
  <c r="J313" i="1"/>
  <c r="M313" i="1"/>
  <c r="F313" i="1"/>
  <c r="J312" i="1"/>
  <c r="M312" i="1"/>
  <c r="F312" i="1"/>
  <c r="J311" i="1"/>
  <c r="M311" i="1"/>
  <c r="F311" i="1"/>
  <c r="J310" i="1"/>
  <c r="M310" i="1"/>
  <c r="F310" i="1"/>
  <c r="J309" i="1"/>
  <c r="M309" i="1"/>
  <c r="F309" i="1"/>
  <c r="J308" i="1"/>
  <c r="M308" i="1"/>
  <c r="F308" i="1"/>
  <c r="J307" i="1"/>
  <c r="M307" i="1"/>
  <c r="F307" i="1"/>
  <c r="J306" i="1"/>
  <c r="M306" i="1"/>
  <c r="F306" i="1"/>
  <c r="J28" i="1"/>
  <c r="J29" i="1"/>
  <c r="J36" i="1"/>
  <c r="K36" i="1"/>
  <c r="B36" i="1"/>
  <c r="J16" i="1"/>
  <c r="J15" i="1"/>
  <c r="K15" i="1"/>
  <c r="F314" i="18"/>
  <c r="J307" i="18"/>
  <c r="J240" i="18"/>
  <c r="J238" i="18"/>
  <c r="J239" i="18"/>
  <c r="K239" i="18"/>
  <c r="L654" i="18"/>
  <c r="K655" i="18"/>
  <c r="K656" i="18"/>
  <c r="J16" i="18"/>
  <c r="K16" i="18"/>
  <c r="J17" i="18"/>
  <c r="K17" i="18"/>
  <c r="J18" i="18"/>
  <c r="K18" i="18"/>
  <c r="J40" i="18"/>
  <c r="K40" i="18"/>
  <c r="J41" i="18"/>
  <c r="K41" i="18"/>
  <c r="J49" i="18"/>
  <c r="K49" i="18"/>
  <c r="J50" i="18"/>
  <c r="K50" i="18"/>
  <c r="J51" i="18"/>
  <c r="K51" i="18"/>
  <c r="J52" i="18"/>
  <c r="K52" i="18"/>
  <c r="J58" i="18"/>
  <c r="J59" i="18"/>
  <c r="K59" i="18"/>
  <c r="J60" i="18"/>
  <c r="J61" i="18"/>
  <c r="K61" i="18"/>
  <c r="J62" i="18"/>
  <c r="J63" i="18"/>
  <c r="K63" i="18"/>
  <c r="J64" i="18"/>
  <c r="J65" i="18"/>
  <c r="K65" i="18"/>
  <c r="J74" i="18"/>
  <c r="J75" i="18"/>
  <c r="K75" i="18"/>
  <c r="J76" i="18"/>
  <c r="J77" i="18"/>
  <c r="K77" i="18"/>
  <c r="J78" i="18"/>
  <c r="J79" i="18"/>
  <c r="K79" i="18"/>
  <c r="J80" i="18"/>
  <c r="J81" i="18"/>
  <c r="K81" i="18"/>
  <c r="J97" i="18"/>
  <c r="J98" i="18"/>
  <c r="K98" i="18"/>
  <c r="J99" i="18"/>
  <c r="J100" i="18"/>
  <c r="K100" i="18"/>
  <c r="J101" i="18"/>
  <c r="J102" i="18"/>
  <c r="K102" i="18"/>
  <c r="J110" i="18"/>
  <c r="J111" i="18"/>
  <c r="K111" i="18"/>
  <c r="J112" i="18"/>
  <c r="J113" i="18"/>
  <c r="K113" i="18"/>
  <c r="J114" i="18"/>
  <c r="J115" i="18"/>
  <c r="K115" i="18"/>
  <c r="J125" i="18"/>
  <c r="K125" i="18"/>
  <c r="J126" i="18"/>
  <c r="K126" i="18"/>
  <c r="J127" i="18"/>
  <c r="K127" i="18"/>
  <c r="J128" i="18"/>
  <c r="K128" i="18"/>
  <c r="J137" i="18"/>
  <c r="K137" i="18"/>
  <c r="J138" i="18"/>
  <c r="K138" i="18"/>
  <c r="J139" i="18"/>
  <c r="K139" i="18"/>
  <c r="J140" i="18"/>
  <c r="K140" i="18"/>
  <c r="J174" i="18"/>
  <c r="K174" i="18"/>
  <c r="J175" i="18"/>
  <c r="K175" i="18"/>
  <c r="J176" i="18"/>
  <c r="K176" i="18"/>
  <c r="J177" i="18"/>
  <c r="K177" i="18"/>
  <c r="J203" i="18"/>
  <c r="K203" i="18"/>
  <c r="J204" i="18"/>
  <c r="K204" i="18"/>
  <c r="J208" i="18"/>
  <c r="K208" i="18"/>
  <c r="J210" i="18"/>
  <c r="K210" i="18"/>
  <c r="J211" i="18"/>
  <c r="K211" i="18"/>
  <c r="J226" i="18"/>
  <c r="J227" i="18"/>
  <c r="K227" i="18"/>
  <c r="J236" i="18"/>
  <c r="J237" i="18"/>
  <c r="K237" i="18"/>
  <c r="J241" i="18"/>
  <c r="K241" i="18"/>
  <c r="J243" i="18"/>
  <c r="K243" i="18"/>
  <c r="J262" i="18"/>
  <c r="K262" i="18"/>
  <c r="J263" i="18"/>
  <c r="K263" i="18"/>
  <c r="J265" i="18"/>
  <c r="K265" i="18"/>
  <c r="J266" i="18"/>
  <c r="K266" i="18"/>
  <c r="J267" i="18"/>
  <c r="K267" i="18"/>
  <c r="J268" i="18"/>
  <c r="K268" i="18"/>
  <c r="J276" i="18"/>
  <c r="K276" i="18"/>
  <c r="J277" i="18"/>
  <c r="K277" i="18"/>
  <c r="J278" i="18"/>
  <c r="K278" i="18"/>
  <c r="J279" i="18"/>
  <c r="K279" i="18"/>
  <c r="J290" i="18"/>
  <c r="K290" i="18"/>
  <c r="J291" i="18"/>
  <c r="K291" i="18"/>
  <c r="J292" i="18"/>
  <c r="K292" i="18"/>
  <c r="J293" i="18"/>
  <c r="K293" i="18"/>
  <c r="J308" i="18"/>
  <c r="K308" i="18"/>
  <c r="J309" i="18"/>
  <c r="J310" i="18"/>
  <c r="K310" i="18"/>
  <c r="J311" i="18"/>
  <c r="J312" i="18"/>
  <c r="K312" i="18"/>
  <c r="J313" i="18"/>
  <c r="J314" i="18"/>
  <c r="K314" i="18"/>
  <c r="J315" i="18"/>
  <c r="J316" i="18"/>
  <c r="K316" i="18"/>
  <c r="J317" i="18"/>
  <c r="J318" i="18"/>
  <c r="K318" i="18"/>
  <c r="J355" i="18"/>
  <c r="K355" i="18"/>
  <c r="J356" i="18"/>
  <c r="K356" i="18"/>
  <c r="J357" i="18"/>
  <c r="K357" i="18"/>
  <c r="J358" i="18"/>
  <c r="K358" i="18"/>
  <c r="J367" i="18"/>
  <c r="K367" i="18"/>
  <c r="J368" i="18"/>
  <c r="K368" i="18"/>
  <c r="J369" i="18"/>
  <c r="K369" i="18"/>
  <c r="J370" i="18"/>
  <c r="K370" i="18"/>
  <c r="K382" i="18"/>
  <c r="K383" i="18"/>
  <c r="J384" i="18"/>
  <c r="K384" i="18"/>
  <c r="J385" i="18"/>
  <c r="K385" i="18"/>
  <c r="J386" i="18"/>
  <c r="K386" i="18"/>
  <c r="J387" i="18"/>
  <c r="K387" i="18"/>
  <c r="J388" i="18"/>
  <c r="K388" i="18"/>
  <c r="J389" i="18"/>
  <c r="K389" i="18"/>
  <c r="J390" i="18"/>
  <c r="K390" i="18"/>
  <c r="J391" i="18"/>
  <c r="K391" i="18"/>
  <c r="J423" i="18"/>
  <c r="K423" i="18"/>
  <c r="J438" i="18"/>
  <c r="K438" i="18"/>
  <c r="J439" i="18"/>
  <c r="K439" i="18"/>
  <c r="J457" i="18"/>
  <c r="K457" i="18"/>
  <c r="J458" i="18"/>
  <c r="K458" i="18"/>
  <c r="J459" i="18"/>
  <c r="K459" i="18"/>
  <c r="J466" i="18"/>
  <c r="J467" i="18"/>
  <c r="K467" i="18"/>
  <c r="J471" i="18"/>
  <c r="J472" i="18"/>
  <c r="K472" i="18"/>
  <c r="J511" i="18"/>
  <c r="J512" i="18"/>
  <c r="K512" i="18"/>
  <c r="J514" i="18"/>
  <c r="J515" i="18"/>
  <c r="K515" i="18"/>
  <c r="J517" i="18"/>
  <c r="J518" i="18"/>
  <c r="K518" i="18"/>
  <c r="J520" i="18"/>
  <c r="J521" i="18"/>
  <c r="K521" i="18"/>
  <c r="J523" i="18"/>
  <c r="J524" i="18"/>
  <c r="K524" i="18"/>
  <c r="J526" i="18"/>
  <c r="J527" i="18"/>
  <c r="K527" i="18"/>
  <c r="J529" i="18"/>
  <c r="J530" i="18"/>
  <c r="K530" i="18"/>
  <c r="J532" i="18"/>
  <c r="J533" i="18"/>
  <c r="K533" i="18"/>
  <c r="J545" i="18"/>
  <c r="K545" i="18"/>
  <c r="J546" i="18"/>
  <c r="K546" i="18"/>
  <c r="J547" i="18"/>
  <c r="K547" i="18"/>
  <c r="J548" i="18"/>
  <c r="K548" i="18"/>
  <c r="J592" i="18"/>
  <c r="D592" i="18"/>
  <c r="K592" i="18"/>
  <c r="J593" i="18"/>
  <c r="K593" i="18"/>
  <c r="J594" i="18"/>
  <c r="D594" i="18"/>
  <c r="J595" i="18"/>
  <c r="K595" i="18"/>
  <c r="J601" i="18"/>
  <c r="J602" i="18"/>
  <c r="K602" i="18"/>
  <c r="J604" i="18"/>
  <c r="J605" i="18"/>
  <c r="K605" i="18"/>
  <c r="J607" i="18"/>
  <c r="J608" i="18"/>
  <c r="K608" i="18"/>
  <c r="J622" i="18"/>
  <c r="K622" i="18"/>
  <c r="J630" i="18"/>
  <c r="K630" i="18"/>
  <c r="J631" i="18"/>
  <c r="K631" i="18"/>
  <c r="J632" i="18"/>
  <c r="K632" i="18"/>
  <c r="J633" i="18"/>
  <c r="K633" i="18"/>
  <c r="J637" i="18"/>
  <c r="J651" i="18"/>
  <c r="B651" i="18"/>
  <c r="B637" i="18"/>
  <c r="J462" i="18"/>
  <c r="J612" i="18"/>
  <c r="B612" i="18"/>
  <c r="J611" i="18"/>
  <c r="B611" i="18"/>
  <c r="J598" i="18"/>
  <c r="B598" i="18"/>
  <c r="D595" i="18"/>
  <c r="J552" i="18"/>
  <c r="B552" i="18"/>
  <c r="B462" i="18"/>
  <c r="J452" i="18"/>
  <c r="B452" i="18"/>
  <c r="J451" i="18"/>
  <c r="B451" i="18"/>
  <c r="J450" i="18"/>
  <c r="B450" i="18"/>
  <c r="J449" i="18"/>
  <c r="B449" i="18"/>
  <c r="J432" i="18"/>
  <c r="B432" i="18"/>
  <c r="E473" i="18"/>
  <c r="C470" i="18"/>
  <c r="J374" i="18"/>
  <c r="B374" i="18"/>
  <c r="J362" i="18"/>
  <c r="B362" i="18"/>
  <c r="C344" i="18"/>
  <c r="D339" i="18"/>
  <c r="D340" i="18"/>
  <c r="D115" i="10"/>
  <c r="D114" i="10"/>
  <c r="J112" i="10"/>
  <c r="J114" i="10"/>
  <c r="E316" i="18"/>
  <c r="E314" i="18"/>
  <c r="F321" i="18"/>
  <c r="F319" i="18"/>
  <c r="E321" i="18"/>
  <c r="E319" i="18"/>
  <c r="F316" i="18"/>
  <c r="B302" i="18"/>
  <c r="B300" i="18"/>
  <c r="B299" i="18"/>
  <c r="B298" i="18"/>
  <c r="B297" i="18"/>
  <c r="B296" i="18"/>
  <c r="B295" i="18"/>
  <c r="B294" i="18"/>
  <c r="B293" i="18"/>
  <c r="B286" i="18"/>
  <c r="B292" i="18"/>
  <c r="B291" i="18"/>
  <c r="B290" i="18"/>
  <c r="B289" i="18"/>
  <c r="B288" i="18"/>
  <c r="B287" i="18"/>
  <c r="B282" i="18"/>
  <c r="B278" i="18"/>
  <c r="B284" i="18"/>
  <c r="B283" i="18"/>
  <c r="B281" i="18"/>
  <c r="B280" i="18"/>
  <c r="B279" i="18"/>
  <c r="F230" i="18"/>
  <c r="G152" i="18"/>
  <c r="G153" i="18"/>
  <c r="G155" i="18"/>
  <c r="G156" i="18"/>
  <c r="G158" i="18"/>
  <c r="G159" i="18"/>
  <c r="G161" i="18"/>
  <c r="G162" i="18"/>
  <c r="G164" i="18"/>
  <c r="G165" i="18"/>
  <c r="F152" i="18"/>
  <c r="F153" i="18"/>
  <c r="F155" i="18"/>
  <c r="F156" i="18"/>
  <c r="F158" i="18"/>
  <c r="F159" i="18"/>
  <c r="F161" i="18"/>
  <c r="F162" i="18"/>
  <c r="F164" i="18"/>
  <c r="F165" i="18"/>
  <c r="E152" i="18"/>
  <c r="E153" i="18"/>
  <c r="E155" i="18"/>
  <c r="E156" i="18"/>
  <c r="E158" i="18"/>
  <c r="E159" i="18"/>
  <c r="E161" i="18"/>
  <c r="E162" i="18"/>
  <c r="E164" i="18"/>
  <c r="E165" i="18"/>
  <c r="E167" i="18"/>
  <c r="J207" i="18"/>
  <c r="H207" i="18"/>
  <c r="J201" i="18"/>
  <c r="H201" i="18"/>
  <c r="J200" i="18"/>
  <c r="H200" i="18"/>
  <c r="B223" i="18"/>
  <c r="B222" i="18"/>
  <c r="H211" i="18"/>
  <c r="H208" i="18"/>
  <c r="H203" i="18"/>
  <c r="J181" i="18"/>
  <c r="B181" i="18"/>
  <c r="J144" i="18"/>
  <c r="B144" i="18"/>
  <c r="J132" i="18"/>
  <c r="B132" i="18"/>
  <c r="H117" i="18"/>
  <c r="H114" i="18"/>
  <c r="H111" i="18"/>
  <c r="J107" i="18"/>
  <c r="B107" i="18"/>
  <c r="J94" i="18"/>
  <c r="B94" i="18"/>
  <c r="J71" i="18"/>
  <c r="B71" i="18"/>
  <c r="J55" i="18"/>
  <c r="B55" i="18"/>
  <c r="J44" i="18"/>
  <c r="B44" i="18"/>
  <c r="E41" i="18"/>
  <c r="D41" i="18"/>
  <c r="J35" i="18"/>
  <c r="B35" i="18"/>
  <c r="D32" i="18"/>
  <c r="D30" i="18"/>
  <c r="J21" i="18"/>
  <c r="B21" i="18"/>
  <c r="J11" i="18"/>
  <c r="B11" i="18"/>
  <c r="J15" i="10"/>
  <c r="K15" i="10"/>
  <c r="J23" i="10"/>
  <c r="J24" i="10"/>
  <c r="J25" i="10"/>
  <c r="J26" i="10"/>
  <c r="J48" i="10"/>
  <c r="K48" i="10"/>
  <c r="J49" i="10"/>
  <c r="K49" i="10"/>
  <c r="J54" i="10"/>
  <c r="J55" i="10"/>
  <c r="K55" i="10"/>
  <c r="J56" i="10"/>
  <c r="J57" i="10"/>
  <c r="J58" i="10"/>
  <c r="J59" i="10"/>
  <c r="J60" i="10"/>
  <c r="J61" i="10"/>
  <c r="J69" i="10"/>
  <c r="J70" i="10"/>
  <c r="K70" i="10"/>
  <c r="J71" i="10"/>
  <c r="J72" i="10"/>
  <c r="K72" i="10"/>
  <c r="J73" i="10"/>
  <c r="J74" i="10"/>
  <c r="K74" i="10"/>
  <c r="J75" i="10"/>
  <c r="J76" i="10"/>
  <c r="K76" i="10"/>
  <c r="J77" i="10"/>
  <c r="J78" i="10"/>
  <c r="K78" i="10"/>
  <c r="J84" i="10"/>
  <c r="J85" i="10"/>
  <c r="K85" i="10"/>
  <c r="J120" i="10"/>
  <c r="J121" i="10"/>
  <c r="K121" i="10"/>
  <c r="J122" i="10"/>
  <c r="J123" i="10"/>
  <c r="K123" i="10"/>
  <c r="J124" i="10"/>
  <c r="J125" i="10"/>
  <c r="K125" i="10"/>
  <c r="J126" i="10"/>
  <c r="J127" i="10"/>
  <c r="K127" i="10"/>
  <c r="J128" i="10"/>
  <c r="J129" i="10"/>
  <c r="K129" i="10"/>
  <c r="J141" i="10"/>
  <c r="K141" i="10"/>
  <c r="J149" i="10"/>
  <c r="K149" i="10"/>
  <c r="J150" i="10"/>
  <c r="K150" i="10"/>
  <c r="J151" i="10"/>
  <c r="K151" i="10"/>
  <c r="J152" i="10"/>
  <c r="K152" i="10"/>
  <c r="J167" i="10"/>
  <c r="K167" i="10"/>
  <c r="J168" i="10"/>
  <c r="D168" i="10"/>
  <c r="J169" i="10"/>
  <c r="K169" i="10"/>
  <c r="J170" i="10"/>
  <c r="K170" i="10"/>
  <c r="J183" i="10"/>
  <c r="K183" i="10"/>
  <c r="J190" i="10"/>
  <c r="K190" i="10"/>
  <c r="J191" i="10"/>
  <c r="K191" i="10"/>
  <c r="J192" i="10"/>
  <c r="K192" i="10"/>
  <c r="J193" i="10"/>
  <c r="K193" i="10"/>
  <c r="J212" i="10"/>
  <c r="K212" i="10"/>
  <c r="J224" i="10"/>
  <c r="K224" i="10"/>
  <c r="J225" i="10"/>
  <c r="K225" i="10"/>
  <c r="J226" i="10"/>
  <c r="K226" i="10"/>
  <c r="J227" i="10"/>
  <c r="D227" i="10"/>
  <c r="L233" i="10"/>
  <c r="K234" i="10"/>
  <c r="K235" i="10"/>
  <c r="C234" i="10"/>
  <c r="C233" i="10"/>
  <c r="J215" i="10"/>
  <c r="B215" i="10"/>
  <c r="J230" i="10"/>
  <c r="B230" i="10"/>
  <c r="D226" i="10"/>
  <c r="D224" i="10"/>
  <c r="J197" i="10"/>
  <c r="B197" i="10"/>
  <c r="J186" i="10"/>
  <c r="B186" i="10"/>
  <c r="J173" i="10"/>
  <c r="B173" i="10"/>
  <c r="D170" i="10"/>
  <c r="D169" i="10"/>
  <c r="D167" i="10"/>
  <c r="J156" i="10"/>
  <c r="B156" i="10"/>
  <c r="J145" i="10"/>
  <c r="B145" i="10"/>
  <c r="D140" i="10"/>
  <c r="D139" i="10"/>
  <c r="D142" i="10"/>
  <c r="D141" i="10"/>
  <c r="F127" i="10"/>
  <c r="H129" i="10"/>
  <c r="D129" i="10"/>
  <c r="B117" i="10"/>
  <c r="J109" i="10"/>
  <c r="J115" i="10"/>
  <c r="J107" i="10"/>
  <c r="J113" i="10"/>
  <c r="J96" i="10"/>
  <c r="B96" i="10"/>
  <c r="B82" i="10"/>
  <c r="G57" i="10"/>
  <c r="F64" i="10"/>
  <c r="F62" i="10"/>
  <c r="F60" i="10"/>
  <c r="F58" i="10"/>
  <c r="B48" i="10"/>
  <c r="H48" i="10"/>
  <c r="F48" i="10"/>
  <c r="D48" i="10"/>
  <c r="J32" i="10"/>
  <c r="B32" i="10"/>
  <c r="B344" i="1"/>
  <c r="J20" i="10"/>
  <c r="B20" i="10"/>
  <c r="J19" i="10"/>
  <c r="E15" i="10"/>
  <c r="D15" i="10"/>
  <c r="J23" i="1"/>
  <c r="K23" i="1"/>
  <c r="J24" i="1"/>
  <c r="K24" i="1"/>
  <c r="J48" i="1"/>
  <c r="K48" i="1"/>
  <c r="J61" i="1"/>
  <c r="K61" i="1"/>
  <c r="J80" i="1"/>
  <c r="K80" i="1"/>
  <c r="J132" i="1"/>
  <c r="K132" i="1"/>
  <c r="J131" i="1"/>
  <c r="K131" i="1"/>
  <c r="J130" i="1"/>
  <c r="K130" i="1"/>
  <c r="J129" i="1"/>
  <c r="K129" i="1"/>
  <c r="J128" i="1"/>
  <c r="K128" i="1"/>
  <c r="J144" i="1"/>
  <c r="K144" i="1"/>
  <c r="J143" i="1"/>
  <c r="K143" i="1"/>
  <c r="J140" i="1"/>
  <c r="K140" i="1"/>
  <c r="J139" i="1"/>
  <c r="K139" i="1"/>
  <c r="J138" i="1"/>
  <c r="K138" i="1"/>
  <c r="J163" i="1"/>
  <c r="K163" i="1"/>
  <c r="J164" i="1"/>
  <c r="K164" i="1"/>
  <c r="J141" i="1"/>
  <c r="K141" i="1"/>
  <c r="J47" i="1"/>
  <c r="K47" i="1"/>
  <c r="J49" i="1"/>
  <c r="K49" i="1"/>
  <c r="J50" i="1"/>
  <c r="K50" i="1"/>
  <c r="J62" i="1"/>
  <c r="K62" i="1"/>
  <c r="J63" i="1"/>
  <c r="K63" i="1"/>
  <c r="J64" i="1"/>
  <c r="K64" i="1"/>
  <c r="J77" i="1"/>
  <c r="K77" i="1"/>
  <c r="J78" i="1"/>
  <c r="K78" i="1"/>
  <c r="J79" i="1"/>
  <c r="K79" i="1"/>
  <c r="J133" i="1"/>
  <c r="K133" i="1"/>
  <c r="J134" i="1"/>
  <c r="K134" i="1"/>
  <c r="J142" i="1"/>
  <c r="K142" i="1"/>
  <c r="J175" i="1"/>
  <c r="K175" i="1"/>
  <c r="J176" i="1"/>
  <c r="K176" i="1"/>
  <c r="J177" i="1"/>
  <c r="K177" i="1"/>
  <c r="J178" i="1"/>
  <c r="D178" i="1"/>
  <c r="J186" i="1"/>
  <c r="K186" i="1"/>
  <c r="J187" i="1"/>
  <c r="K187" i="1"/>
  <c r="J188" i="1"/>
  <c r="K188" i="1"/>
  <c r="J189" i="1"/>
  <c r="K189" i="1"/>
  <c r="J198" i="1"/>
  <c r="K198" i="1"/>
  <c r="J199" i="1"/>
  <c r="K199" i="1"/>
  <c r="J200" i="1"/>
  <c r="E200" i="1"/>
  <c r="J201" i="1"/>
  <c r="E201" i="1"/>
  <c r="J219" i="1"/>
  <c r="K219" i="1"/>
  <c r="J220" i="1"/>
  <c r="K220" i="1"/>
  <c r="J221" i="1"/>
  <c r="K221" i="1"/>
  <c r="J222" i="1"/>
  <c r="K222" i="1"/>
  <c r="J234" i="1"/>
  <c r="K234" i="1"/>
  <c r="J235" i="1"/>
  <c r="K235" i="1"/>
  <c r="J236" i="1"/>
  <c r="K236" i="1"/>
  <c r="J237" i="1"/>
  <c r="K237" i="1"/>
  <c r="J249" i="1"/>
  <c r="K249" i="1"/>
  <c r="J250" i="1"/>
  <c r="K250" i="1"/>
  <c r="J251" i="1"/>
  <c r="K251" i="1"/>
  <c r="J252" i="1"/>
  <c r="K252" i="1"/>
  <c r="J261" i="1"/>
  <c r="K261" i="1"/>
  <c r="J262" i="1"/>
  <c r="K262" i="1"/>
  <c r="J273" i="1"/>
  <c r="K273" i="1"/>
  <c r="J274" i="1"/>
  <c r="K274" i="1"/>
  <c r="J289" i="1"/>
  <c r="K289" i="1"/>
  <c r="J290" i="1"/>
  <c r="K290" i="1"/>
  <c r="J291" i="1"/>
  <c r="K291" i="1"/>
  <c r="J292" i="1"/>
  <c r="K292" i="1"/>
  <c r="J322" i="1"/>
  <c r="K322" i="1"/>
  <c r="J323" i="1"/>
  <c r="K323" i="1"/>
  <c r="J324" i="1"/>
  <c r="K324" i="1"/>
  <c r="J325" i="1"/>
  <c r="K325" i="1"/>
  <c r="J337" i="1"/>
  <c r="K337" i="1"/>
  <c r="K340" i="1"/>
  <c r="K363" i="1"/>
  <c r="K364" i="1"/>
  <c r="C363" i="1"/>
  <c r="C362" i="1"/>
  <c r="J295" i="1"/>
  <c r="B295" i="1"/>
  <c r="J205" i="1"/>
  <c r="B205" i="1"/>
  <c r="J358" i="1"/>
  <c r="B358" i="1"/>
  <c r="D291" i="1"/>
  <c r="D290" i="1"/>
  <c r="J278" i="1"/>
  <c r="B278" i="1"/>
  <c r="D274" i="1"/>
  <c r="E262" i="1"/>
  <c r="J267" i="1"/>
  <c r="B267" i="1"/>
  <c r="D262" i="1"/>
  <c r="D252" i="1"/>
  <c r="J255" i="1"/>
  <c r="B255" i="1"/>
  <c r="D250" i="1"/>
  <c r="J240" i="1"/>
  <c r="B240" i="1"/>
  <c r="D236" i="1"/>
  <c r="D235" i="1"/>
  <c r="J225" i="1"/>
  <c r="D220" i="1"/>
  <c r="B225" i="1"/>
  <c r="D222" i="1"/>
  <c r="J17" i="1"/>
  <c r="B17" i="1"/>
  <c r="C163" i="1"/>
  <c r="J194" i="1"/>
  <c r="H189" i="1"/>
  <c r="J193" i="1"/>
  <c r="H188" i="1"/>
  <c r="J192" i="1"/>
  <c r="H187" i="1"/>
  <c r="J191" i="1"/>
  <c r="H186" i="1"/>
  <c r="J181" i="1"/>
  <c r="B181" i="1"/>
  <c r="J165" i="1"/>
  <c r="B166" i="1"/>
  <c r="J146" i="1"/>
  <c r="J152" i="1"/>
  <c r="D152" i="1"/>
  <c r="E142" i="1"/>
  <c r="J67" i="1"/>
  <c r="B67" i="1"/>
  <c r="D64" i="1"/>
  <c r="D62" i="1"/>
  <c r="D61" i="1"/>
  <c r="J53" i="1"/>
  <c r="B53" i="1"/>
  <c r="D48" i="1"/>
  <c r="J39" i="1"/>
  <c r="B39" i="1"/>
  <c r="J83" i="1"/>
  <c r="B83" i="1"/>
  <c r="J94" i="1"/>
  <c r="B94" i="1"/>
  <c r="E92" i="1"/>
  <c r="D92" i="1"/>
  <c r="J108" i="1"/>
  <c r="B108" i="1"/>
  <c r="E144" i="1"/>
  <c r="E140" i="1"/>
  <c r="E139" i="1"/>
  <c r="E138" i="1"/>
  <c r="D122" i="1"/>
  <c r="D117" i="1"/>
  <c r="D118" i="1"/>
  <c r="D119" i="1"/>
  <c r="D120" i="1"/>
  <c r="D121" i="1"/>
  <c r="D123" i="1"/>
  <c r="J149" i="21"/>
  <c r="K149" i="21"/>
  <c r="D80" i="1"/>
  <c r="D79" i="1"/>
  <c r="D78" i="1"/>
  <c r="D50" i="1"/>
  <c r="D49" i="1"/>
  <c r="D219" i="1"/>
  <c r="D249" i="1"/>
  <c r="D251" i="1"/>
  <c r="E143" i="1"/>
  <c r="D77" i="1"/>
  <c r="D47" i="1"/>
  <c r="D63" i="1"/>
  <c r="E141" i="1"/>
  <c r="D221" i="1"/>
  <c r="D237" i="1"/>
  <c r="E274" i="1"/>
  <c r="D292" i="1"/>
  <c r="D177" i="1"/>
  <c r="D234" i="1"/>
  <c r="D289" i="1"/>
  <c r="K594" i="18"/>
  <c r="D431" i="17"/>
  <c r="B12" i="1"/>
  <c r="K59" i="10"/>
  <c r="G61" i="10"/>
  <c r="G63" i="10"/>
  <c r="K61" i="10"/>
  <c r="G59" i="10"/>
  <c r="K57" i="10"/>
  <c r="D225" i="10"/>
  <c r="K227" i="10"/>
  <c r="K168" i="10"/>
  <c r="C29" i="10"/>
  <c r="J29" i="10"/>
  <c r="K29" i="10"/>
  <c r="J30" i="10"/>
  <c r="K30" i="10"/>
  <c r="D29" i="10"/>
  <c r="K200" i="1"/>
  <c r="K201" i="1"/>
  <c r="E199" i="1"/>
  <c r="E198" i="1"/>
  <c r="K178" i="1"/>
  <c r="D175" i="1"/>
  <c r="D176" i="1"/>
  <c r="J147" i="1"/>
  <c r="D147" i="1"/>
  <c r="J148" i="1"/>
  <c r="D148" i="1"/>
  <c r="J151" i="1"/>
  <c r="D151" i="1"/>
  <c r="J153" i="1"/>
  <c r="D153" i="1"/>
  <c r="J150" i="1"/>
  <c r="D150" i="1"/>
  <c r="J149" i="1"/>
  <c r="D149" i="1"/>
  <c r="C374" i="15"/>
  <c r="K373" i="15"/>
  <c r="C227" i="21"/>
  <c r="C226" i="21"/>
  <c r="K226" i="21"/>
  <c r="D445" i="17"/>
  <c r="K447" i="17"/>
  <c r="K15" i="17"/>
  <c r="K442" i="17"/>
  <c r="D433" i="17"/>
  <c r="D432" i="17"/>
  <c r="D434" i="17"/>
  <c r="D14" i="17"/>
  <c r="D13" i="17"/>
  <c r="K443" i="17"/>
  <c r="C1353" i="17"/>
  <c r="C1354" i="17"/>
  <c r="F167" i="18"/>
  <c r="D341" i="18"/>
  <c r="D337" i="18"/>
  <c r="D342" i="18"/>
  <c r="D338" i="18"/>
  <c r="D343" i="18"/>
  <c r="G167" i="18"/>
  <c r="J68" i="18"/>
  <c r="C68" i="18"/>
  <c r="J91" i="18"/>
  <c r="C91" i="18"/>
  <c r="C169" i="18"/>
  <c r="J104" i="18"/>
  <c r="C104" i="18"/>
  <c r="H210" i="18"/>
  <c r="D29" i="18"/>
  <c r="H204" i="18"/>
  <c r="D31" i="18"/>
  <c r="D593" i="18"/>
  <c r="K654" i="18"/>
  <c r="K657" i="18"/>
  <c r="C657" i="18"/>
  <c r="C655" i="18"/>
  <c r="C654" i="18"/>
  <c r="K233" i="10"/>
  <c r="K236" i="10"/>
  <c r="C236" i="10"/>
  <c r="K362" i="1"/>
  <c r="C364" i="1"/>
  <c r="C375" i="15"/>
  <c r="K376" i="15"/>
  <c r="C376" i="15"/>
  <c r="J378" i="15"/>
  <c r="D376" i="15"/>
  <c r="C228" i="21"/>
  <c r="K229" i="21"/>
  <c r="C229" i="21"/>
  <c r="D344" i="18"/>
  <c r="E337" i="18"/>
  <c r="E338" i="18"/>
  <c r="E339" i="18"/>
  <c r="E340" i="18"/>
  <c r="E341" i="18"/>
  <c r="E342" i="18"/>
  <c r="E343" i="18"/>
  <c r="E344" i="18"/>
  <c r="G168" i="18"/>
  <c r="E168" i="18"/>
  <c r="F168" i="18"/>
  <c r="C656" i="18"/>
  <c r="J659" i="18"/>
  <c r="D657" i="18"/>
  <c r="E657" i="18"/>
  <c r="C12" i="7"/>
  <c r="C235" i="10"/>
  <c r="C11" i="7"/>
  <c r="D11" i="7"/>
  <c r="J238" i="10"/>
  <c r="D236" i="10"/>
  <c r="E236" i="10"/>
  <c r="K365" i="1"/>
  <c r="C365" i="1"/>
  <c r="C10" i="7"/>
  <c r="D10" i="7"/>
  <c r="C15" i="7"/>
  <c r="D15" i="7"/>
  <c r="C14" i="7"/>
  <c r="D14" i="7"/>
  <c r="J231" i="21"/>
  <c r="D229" i="21"/>
  <c r="D12" i="7"/>
  <c r="J367" i="1"/>
  <c r="D365" i="1"/>
  <c r="E365" i="1"/>
  <c r="K1353" i="17"/>
  <c r="K1356" i="17"/>
  <c r="C1356" i="17"/>
  <c r="C13" i="7"/>
  <c r="D13" i="7"/>
  <c r="J1358" i="17"/>
  <c r="D1356" i="17"/>
  <c r="C1355" i="17"/>
  <c r="C17" i="7"/>
  <c r="B19" i="7"/>
  <c r="D17" i="7"/>
</calcChain>
</file>

<file path=xl/comments1.xml><?xml version="1.0" encoding="utf-8"?>
<comments xmlns="http://schemas.openxmlformats.org/spreadsheetml/2006/main">
  <authors>
    <author>Erik</author>
  </authors>
  <commentList>
    <comment ref="C110" authorId="0" shapeId="0">
      <text>
        <r>
          <rPr>
            <b/>
            <sz val="10"/>
            <color indexed="81"/>
            <rFont val="Tahoma"/>
          </rPr>
          <t>vul een percentage-getal in zoals u dat inschat.</t>
        </r>
      </text>
    </comment>
    <comment ref="C112" authorId="0" shapeId="0">
      <text>
        <r>
          <rPr>
            <b/>
            <sz val="10"/>
            <color indexed="81"/>
            <rFont val="Tahoma"/>
          </rPr>
          <t>vul een percentage-getal in zoals u dat inschat.</t>
        </r>
      </text>
    </comment>
  </commentList>
</comments>
</file>

<file path=xl/comments2.xml><?xml version="1.0" encoding="utf-8"?>
<comments xmlns="http://schemas.openxmlformats.org/spreadsheetml/2006/main">
  <authors>
    <author>Erik</author>
  </authors>
  <commentList>
    <comment ref="B1206" authorId="0" shapeId="0">
      <text>
        <r>
          <rPr>
            <b/>
            <sz val="10"/>
            <color indexed="81"/>
            <rFont val="Tahoma"/>
          </rPr>
          <t>Let op: er zijn onderzoeken die (deels) anders uitwijzen.</t>
        </r>
      </text>
    </comment>
  </commentList>
</comments>
</file>

<file path=xl/sharedStrings.xml><?xml version="1.0" encoding="utf-8"?>
<sst xmlns="http://schemas.openxmlformats.org/spreadsheetml/2006/main" count="6224" uniqueCount="2787">
  <si>
    <t>Er zijn 3 volledige punten te behalen en 3 halve.</t>
  </si>
  <si>
    <t>Oranje = grotendeels fout (geen punt).</t>
  </si>
  <si>
    <t>Rood = geheel fout (geen punt).</t>
  </si>
  <si>
    <t>Felgroen = Juist (1 punt).</t>
  </si>
  <si>
    <t>25.</t>
  </si>
  <si>
    <t>hangen nauw met elkaar samen.</t>
  </si>
  <si>
    <t>We borduren nog even voort op de vorige twee opdrachten.</t>
  </si>
  <si>
    <t>Stel dat het UWV het risico van punt E wil verminderen door een combinatie van de volgende (HRM-)beheersmaatregelen te treffen:</t>
  </si>
  <si>
    <t>op alle medewerkers ouder dan 50 jaar, loopbaanmanagement toepassen, samen met de mogelijkheid van outplacement.</t>
  </si>
  <si>
    <t>Hoogte van het</t>
  </si>
  <si>
    <t>risico.</t>
  </si>
  <si>
    <t>Effectiviteit van de beheersmaatregel (of meervoud).</t>
  </si>
  <si>
    <r>
      <t xml:space="preserve">Hiernaast staat de </t>
    </r>
    <r>
      <rPr>
        <b/>
        <sz val="10"/>
        <rFont val="Arial"/>
        <family val="2"/>
      </rPr>
      <t>Risicoprofiel</t>
    </r>
    <r>
      <rPr>
        <sz val="10"/>
        <rFont val="Arial"/>
      </rPr>
      <t>-matrix van R. Roelvink. Zie leerboek.</t>
    </r>
  </si>
  <si>
    <r>
      <t xml:space="preserve">Waar kan dan een kruisje geplaatst worden in de </t>
    </r>
    <r>
      <rPr>
        <b/>
        <i/>
        <sz val="10"/>
        <rFont val="Arial"/>
        <family val="2"/>
      </rPr>
      <t>controlprofiel</t>
    </r>
    <r>
      <rPr>
        <i/>
        <sz val="10"/>
        <rFont val="Arial"/>
        <family val="2"/>
      </rPr>
      <t>-matrix hiernaast? Plaats het kruisje in het juiste lichtgele vakje.</t>
    </r>
  </si>
  <si>
    <t>Pensioenregelingen.</t>
  </si>
  <si>
    <t>Exit-interviews.</t>
  </si>
  <si>
    <t>Functie-omschrijvingen.</t>
  </si>
  <si>
    <t>Prestatiebeloning.</t>
  </si>
  <si>
    <t>of te wel: maximale Productiviteit = maximaal Resultaat gedeeld door</t>
  </si>
  <si>
    <t>in één periode 95 pakketten worden geproduceerd.</t>
  </si>
  <si>
    <t>Bereken de maximale productiviteit.</t>
  </si>
  <si>
    <t>Of er voornemens zijn om het beloningsbeleid te herzien en te koppelen aan competentiemanagement.</t>
  </si>
  <si>
    <t>Wat de behoefte is aan personeel (kwantitief en/of kwalitatief) voor een komende periode.</t>
  </si>
  <si>
    <t>29.</t>
  </si>
  <si>
    <t>integraal model en bevat daarom alleen strategische stappen en geen</t>
  </si>
  <si>
    <t>x</t>
  </si>
  <si>
    <t>30.</t>
  </si>
  <si>
    <t>Waarvoor staat de afkorting HRA?</t>
  </si>
  <si>
    <t>HRA = Human Resources Assessment.</t>
  </si>
  <si>
    <t>HRA = Human Resources Accounting.</t>
  </si>
  <si>
    <t>HRA = Human Redesign Atainability.</t>
  </si>
  <si>
    <t>HRA = Human Resources Acceptance.</t>
  </si>
  <si>
    <t>Indirecte</t>
  </si>
  <si>
    <t>opbrengsten zoals:</t>
  </si>
  <si>
    <t>Directe opbrengsten</t>
  </si>
  <si>
    <t>zoals: minder</t>
  </si>
  <si>
    <t>premies, lagere</t>
  </si>
  <si>
    <t>loonkosten, enz.</t>
  </si>
  <si>
    <t>Effectiviteit / intern</t>
  </si>
  <si>
    <t>rendement van het</t>
  </si>
  <si>
    <t>beleid.</t>
  </si>
  <si>
    <t>Te maken (extra)</t>
  </si>
  <si>
    <t>kosten voor</t>
  </si>
  <si>
    <t>HRM-beleid.</t>
  </si>
  <si>
    <t>Prismant Basismodel kosten/baten personeelsmanagement.</t>
  </si>
  <si>
    <t>31.</t>
  </si>
  <si>
    <t>Hiernaast staat het Basismodel kosten/baten personeelsmanagement</t>
  </si>
  <si>
    <t>van Prismant afgebeeld. Het is een basismodel om de toegevoegde</t>
  </si>
  <si>
    <t>waarde van investeringen in HRM-instrumenten te analyseren.</t>
  </si>
  <si>
    <t>maar bij de indirecte opbrengsten ontbreken die voorbeelden.</t>
  </si>
  <si>
    <t>32.</t>
  </si>
  <si>
    <t>Het analyseren van de economische waarde van het functioneel deelgebied HRM (strategie en beleid, maar ook de instrumenten en effecten daarvan), uitgedrukt in kosten en baten.</t>
  </si>
  <si>
    <t>Wat is HRA eigenlijk? Welke definitie is juist?</t>
  </si>
  <si>
    <t>Het berekenen van de personeelskosten.</t>
  </si>
  <si>
    <t>Een kwantificatiemethode van de personeelsplanningsgegevens, met name die van de in- en uitstroom, waarbij het bereiken van het zgn. Break-Even-Point de hoogst haalbare balanssituatie aangeeft.</t>
  </si>
  <si>
    <t>33.</t>
  </si>
  <si>
    <t xml:space="preserve">Hoe kunnen we de waarde van de competenties van ons personeel </t>
  </si>
  <si>
    <t>34.</t>
  </si>
  <si>
    <t>en wordt vervangen door een 30-jarige medewerker met minder</t>
  </si>
  <si>
    <t>werkervaring, dan levert die jongere medewerker al na een paar</t>
  </si>
  <si>
    <t>Via de uitkomsten van bepaalde HRM-instrumenten of door te kijken</t>
  </si>
  <si>
    <t>naar bepaalde uitkomsten, kan men Ontwikkelbehoefte, Ontwikkel-</t>
  </si>
  <si>
    <t>bereidheid en Ontwikkelvermogen afleiden.</t>
  </si>
  <si>
    <t>Functieanalyse</t>
  </si>
  <si>
    <t>Na de functie- en situatieanalyse definieert men beoordelingscriteria om de zwaarte van</t>
  </si>
  <si>
    <t>voortkomt uit de functieanalyse, situatieanalyse en functiebeschrijving.</t>
  </si>
  <si>
    <t>Functiebeoordelingscriteria kan men onderscheiden naar demografische criteria,</t>
  </si>
  <si>
    <t>Welke twee voorwaarden ontbreken nog? (Leerboek 4.10)</t>
  </si>
  <si>
    <t>69.</t>
  </si>
  <si>
    <t>Kruis hiernaast aan of een bepaald doel primair valt onder</t>
  </si>
  <si>
    <t>personeelsgesprekken' of 'functioneringsgesprekken'.</t>
  </si>
  <si>
    <t>Beoordeling</t>
  </si>
  <si>
    <t>Beoordelings-</t>
  </si>
  <si>
    <t>gesprekken</t>
  </si>
  <si>
    <t>Functionerings-</t>
  </si>
  <si>
    <t>Vaststelling van de beloning</t>
  </si>
  <si>
    <t>Signalering van verbeterpunten</t>
  </si>
  <si>
    <t>Versterking van de motivatie van de medewerker</t>
  </si>
  <si>
    <t>Promotiemogelijkheden bepalen</t>
  </si>
  <si>
    <t>Bepaling van benodigde Opleiding/Vorming/Training</t>
  </si>
  <si>
    <t>70.</t>
  </si>
  <si>
    <t>Welke van onderstaande stellingen is juist?</t>
  </si>
  <si>
    <t>De samenhang tussen een beoordelingsgesprek en een belonings-</t>
  </si>
  <si>
    <t>systeem is dat het beloningssysteem aangeeft welke functie in welke</t>
  </si>
  <si>
    <t>mate gewaardeerd moet worden.</t>
  </si>
  <si>
    <t>De samenhang tussen een beoordelingsgesprek en productieplanning is</t>
  </si>
  <si>
    <t>dat de beoordeling uitwijst of een beoordeelde medewerker voor een</t>
  </si>
  <si>
    <t>bepaalde productie kan worden ingezet of niet.</t>
  </si>
  <si>
    <t>De samenhang tussen functionerings- en beoordelingsgesprekken is dat</t>
  </si>
  <si>
    <t>wanneer ze gecombineerd worden, functioneringsgesprekken gezien</t>
  </si>
  <si>
    <t>kunnen worden als een soort voortraject van beoordelingsgesprekken.</t>
  </si>
  <si>
    <t xml:space="preserve">D. </t>
  </si>
  <si>
    <t>Tussen beoordelingsgesprekken en loopbaanontwikkeling bestaat</t>
  </si>
  <si>
    <r>
      <t>geen</t>
    </r>
    <r>
      <rPr>
        <sz val="10"/>
        <rFont val="Arial"/>
      </rPr>
      <t xml:space="preserve"> direct verband.</t>
    </r>
  </si>
  <si>
    <t>De samenhang tussen personeelsbeleid en beoordelingsgesprekken is</t>
  </si>
  <si>
    <t>dat de beoordelingswijze en wat er met de uitkomsten gedaan moet</t>
  </si>
  <si>
    <t>worden, afgestemd moet zijn op wat het personeelsbeleid aanreikt.</t>
  </si>
  <si>
    <t>De samenhang tussen een FunctieWaarderingssysteem en</t>
  </si>
  <si>
    <t>beoordelingsregistratie plaatsvindt.</t>
  </si>
  <si>
    <t>71.</t>
  </si>
  <si>
    <t>Er zijn diverse soorten beoordelingen te onderscheiden.</t>
  </si>
  <si>
    <t>Functioneringsbeoordeling</t>
  </si>
  <si>
    <t>Er ontbreken in het rijtje hiernaast nog twee. Vul ze in.</t>
  </si>
  <si>
    <t>Potentieelbeoordeling</t>
  </si>
  <si>
    <t>360-graden-beoordeling</t>
  </si>
  <si>
    <t>72.</t>
  </si>
  <si>
    <t>73.</t>
  </si>
  <si>
    <t>74.</t>
  </si>
  <si>
    <t>Net als bij W&amp;S is het bij beoordeling erg moeilijk om te voldoen aan</t>
  </si>
  <si>
    <t>drie belangrijke aspecten. Twee daarvan staan al hiernaast opgesomd.</t>
  </si>
  <si>
    <t>Betrouwbaarheid</t>
  </si>
  <si>
    <t>Objectiviteit</t>
  </si>
  <si>
    <t>Validiteit</t>
  </si>
  <si>
    <t>75.</t>
  </si>
  <si>
    <t>76.</t>
  </si>
  <si>
    <t>Hiernaast staat een veel gebruikte opsomming van de voornaamste</t>
  </si>
  <si>
    <t>Tell and sell</t>
  </si>
  <si>
    <t>Tell and listen</t>
  </si>
  <si>
    <t>Planning and review</t>
  </si>
  <si>
    <t>Problem solving</t>
  </si>
  <si>
    <t>Prestatie</t>
  </si>
  <si>
    <t>Planning and</t>
  </si>
  <si>
    <t>review</t>
  </si>
  <si>
    <t>77.</t>
  </si>
  <si>
    <t>Een goede fasering van een goed beoordelingssysteem bevat een</t>
  </si>
  <si>
    <t>zestal fasen. De fasen 2 t/m 6 zijn: verzamelen van beoordelingsinformatie;</t>
  </si>
  <si>
    <t>vaststelling van beoordelingsresultaten; beoordelingsresultaten vaststellen;</t>
  </si>
  <si>
    <t>beoordelingsgesprek voeren; conclusies trekken en afspraken maken;</t>
  </si>
  <si>
    <t>en ten slotte concrete acties ondernemen.</t>
  </si>
  <si>
    <t>Waaruit bestaat de cruciale 1e fase? Vul uw antwoord hiernaast in.</t>
  </si>
  <si>
    <t>Tot de cruciale fase 1 voor een goed beoordelingssysteem behoort:</t>
  </si>
  <si>
    <t>Beoordelingscriteria</t>
  </si>
  <si>
    <t>78.</t>
  </si>
  <si>
    <t>Problem</t>
  </si>
  <si>
    <t>learning</t>
  </si>
  <si>
    <t>Problem learning</t>
  </si>
  <si>
    <t>nummer vier ontbreekt. Vul die in.</t>
  </si>
  <si>
    <t>79.</t>
  </si>
  <si>
    <t>Als de beoordelaar op een vrijgelaten manier opschrijft wat hij van de</t>
  </si>
  <si>
    <t>Gewongen-keuze</t>
  </si>
  <si>
    <t>model</t>
  </si>
  <si>
    <t>Grafische schaal</t>
  </si>
  <si>
    <t>methode</t>
  </si>
  <si>
    <t>Beschrijvende</t>
  </si>
  <si>
    <t>Relatieve</t>
  </si>
  <si>
    <t>beoordeelde vindt, dan valt die manier onder de noemer:</t>
  </si>
  <si>
    <t>beoordeelde geldt, dan valt die manier onder de noemer:</t>
  </si>
  <si>
    <t>Als de beoordelaar op een lijst moet aankruisen welke waarde voor de</t>
  </si>
  <si>
    <t>Als de beoordelaar de beoordeelde via een rangordesysteem</t>
  </si>
  <si>
    <t>beoordeelt, dan valt die manier onder de noemer:</t>
  </si>
  <si>
    <t>manier onder de noemer:</t>
  </si>
  <si>
    <t>Checklist-</t>
  </si>
  <si>
    <t>Als de beoordelaar de beoordeelde gaat beoordelen op basis van</t>
  </si>
  <si>
    <t>kritische incidenten, dan valt die manier onder de noemer:</t>
  </si>
  <si>
    <t>voorbeelden vallen onder welke vorm/noemer? Kruis aan.</t>
  </si>
  <si>
    <t>80.</t>
  </si>
  <si>
    <t>81.</t>
  </si>
  <si>
    <t>82.</t>
  </si>
  <si>
    <t>Enkele vragen omtrent de flexwet (kruis het juiste antwoord aan):</t>
  </si>
  <si>
    <t>De Wet op de IDentificatieplicht (WID) regelt dat voor werknemers van</t>
  </si>
  <si>
    <t>buiten de EU, een werkgever een tewerkstellingsvergunning nodig heeft.</t>
  </si>
  <si>
    <t>De Wet Arbeid en Zorg (WAZO) regelt dat werknemers recht hebben</t>
  </si>
  <si>
    <t>op een bepaald maximum aantal dagen zorgverlof per jaar.</t>
  </si>
  <si>
    <t>In het Burgerlijk Wetboek (BW) is vastgelegd dat een werkgever alleen</t>
  </si>
  <si>
    <t>met instemming van de werknemer diens functie mag wijzigen.</t>
  </si>
  <si>
    <t>Het in het Burgerlijk Wetboek (BW) geregelde concurrentiebeding</t>
  </si>
  <si>
    <t>geeft aan dat werknemers geen bedrijfsinformatie aan concurrenten</t>
  </si>
  <si>
    <t>mogen verstrekken zonder medeweten van de werkgever.</t>
  </si>
  <si>
    <t>in het Burgerlijk Wetboek (BW) is geregeld.</t>
  </si>
  <si>
    <t>Vakantiedagen en arbeidsduurverkorting mogen in principe niet in</t>
  </si>
  <si>
    <t>geld worden uitbetaald (behalve als het om meer dan de wettelijke</t>
  </si>
  <si>
    <t>De flexwet is van toepassing op alle werknemers.</t>
  </si>
  <si>
    <t>minimaal 20 vakantiedagen p/j.</t>
  </si>
  <si>
    <t>Het is wettelijk niet toegestaan om tijdens werving en selectie te vragen</t>
  </si>
  <si>
    <t>naar iemands gezondheid.</t>
  </si>
  <si>
    <t>vastgelegd in het Burgerlijk Wetboek (BW).</t>
  </si>
  <si>
    <t>Een mondeling afgesproken proeftijd is ook rechtsgeldig.</t>
  </si>
  <si>
    <t>Een stagiair is geen werknemer en dus is er op een stagevergoeding</t>
  </si>
  <si>
    <t>ook geen loonheffing van toepassing.</t>
  </si>
  <si>
    <t>In het kader van de ARBO-wet staat de afkorting 'VGW' voor:</t>
  </si>
  <si>
    <t>Veiligheid, Gezondheid en Welzijn.</t>
  </si>
  <si>
    <t>In het kader van inspraak van personeel staat de afkorting 'WOR' voor:</t>
  </si>
  <si>
    <t>Wet OndernemingsinspraakRegeling.</t>
  </si>
  <si>
    <t>De bekende afkorting 'ATW' staat voor ArbeidsTijdenWet.</t>
  </si>
  <si>
    <t>8 uur</t>
  </si>
  <si>
    <t>9 uur</t>
  </si>
  <si>
    <t>10 uur</t>
  </si>
  <si>
    <t>11 uur</t>
  </si>
  <si>
    <t>12 uur</t>
  </si>
  <si>
    <t>Nachtwerk mag per nachtdienst in principe niet meer zijn dan:</t>
  </si>
  <si>
    <t>Enkele vragen over de ArbeidsTijdenWet (0,5 punt per vraag):</t>
  </si>
  <si>
    <t>Vervolg ATW.</t>
  </si>
  <si>
    <t>Enkele vragen omtrent de ARBO-wet.</t>
  </si>
  <si>
    <t>Vervolg ARBO-wet.</t>
  </si>
  <si>
    <t>Risico Inventarisatie en Evaluatie.</t>
  </si>
  <si>
    <t>De afkorting PGO staat voor: Personeels Geografisch Onderzoek.</t>
  </si>
  <si>
    <t>Nog enkele kennisvragen (0,5 punt per vraag).</t>
  </si>
  <si>
    <t>Bedrijfshulpverlening (BHV) wordt in organisaties doorgaans</t>
  </si>
  <si>
    <t>door bedrijfsmaatschappelijk werkers (BMW-ers) verricht.</t>
  </si>
  <si>
    <t>Ministerie van Sociale Zaken en Werkgelegenheid of de rechtbank.</t>
  </si>
  <si>
    <t>(ook hier weer slechts 0,5 punt per vraag te behalen)</t>
  </si>
  <si>
    <t>Specifieke medezeggenschapsregels gelden voor bedrijven met</t>
  </si>
  <si>
    <t>meer dan het volgende aantal werknemers (kruis aan):</t>
  </si>
  <si>
    <t>10 tot 50 werkn.</t>
  </si>
  <si>
    <t>50 tot 100 werkn.</t>
  </si>
  <si>
    <t>Meer dan 100.</t>
  </si>
  <si>
    <t>Verplichting tot het instellen van een personeelsvertegenwoordiging</t>
  </si>
  <si>
    <t>met beperkte bevoegdheden geldt voor bedrijven vanaf:</t>
  </si>
  <si>
    <t>Verplichting tot het instellen van een OR met beperkte OR-</t>
  </si>
  <si>
    <t>bevoegdheden geldt voor bedrijven vanaf:</t>
  </si>
  <si>
    <t>10&gt;</t>
  </si>
  <si>
    <t>50 tot 100</t>
  </si>
  <si>
    <t>10 tot 50</t>
  </si>
  <si>
    <t>AI</t>
  </si>
  <si>
    <t>instelling van een OR met volledige OR-bevoegdheden.</t>
  </si>
  <si>
    <t>Alvorens een OR in beroep kan gaan tegen een besluit van de</t>
  </si>
  <si>
    <t>werkgever, dient het geschil eerst aan een zogeheten geschillen-</t>
  </si>
  <si>
    <t>commissie voorgelegd te worden.</t>
  </si>
  <si>
    <t>De aparte Ondernemingskamer te Amterdam waar OR's een eventueel</t>
  </si>
  <si>
    <t>geschil kunnen voorleggen is een geschillencommissie.</t>
  </si>
  <si>
    <t>De hoogste instantie waar een OR uiteindelijk cassatie kan</t>
  </si>
  <si>
    <t>OR-leden kunnen niet ontslagen worden.</t>
  </si>
  <si>
    <t>De WOR geldt in de profit- en non-profitsector, het onderwijs en</t>
  </si>
  <si>
    <t>alle overige bedrijfstakken.</t>
  </si>
  <si>
    <t>In grote organisaties met divisies of Business Units (BU's) kan er</t>
  </si>
  <si>
    <t>naast een centrale OR sprake zijn van 'sub-OR' zoals een GOR.</t>
  </si>
  <si>
    <t>Personeelsinstrumenten</t>
  </si>
  <si>
    <t>Arbeidsrechtelijke gevolgen</t>
  </si>
  <si>
    <t>HRM-</t>
  </si>
  <si>
    <t>samenhang</t>
  </si>
  <si>
    <t>Welk begrip hoort in het lichtgele vakje hiernaast? Vul in.</t>
  </si>
  <si>
    <t>46.</t>
  </si>
  <si>
    <t>Boselie (2000) heeft een overzicht gemaakt van veel gebruikte</t>
  </si>
  <si>
    <t>competenties. Hij onderscheidt domeincompetenties en de concretere</t>
  </si>
  <si>
    <t>taakcompetenties. Hiernaast staat de domeincompetentie 'vertrouwen</t>
  </si>
  <si>
    <t>wekken'. Vul daarnaast een passende taakcompetentie in.</t>
  </si>
  <si>
    <t>Domeincompetentie:</t>
  </si>
  <si>
    <t>Vertrouwen wekken</t>
  </si>
  <si>
    <t>Taakcompetentie:</t>
  </si>
  <si>
    <t>47.</t>
  </si>
  <si>
    <t>Het moeilijke van competenties is het 'meten' ervan. Daarvoor zijn zogeheten</t>
  </si>
  <si>
    <t>indicatoren' nodig en die zijn erg lastig te verwoorden. Hieronder staat een</t>
  </si>
  <si>
    <t>aantal voorbeelden van indicatoren, behorende bij de competentie mondelinge</t>
  </si>
  <si>
    <t>Is goed verstaanbaar (volume, articulatie, tempo).</t>
  </si>
  <si>
    <t>Weet de boodschap kernachtig over te brengen.</t>
  </si>
  <si>
    <t>Uit de boodschap op correcte wijze.</t>
  </si>
  <si>
    <t>Geeft toelichting bij vaktechnische termen.</t>
  </si>
  <si>
    <t>Beperkt het gebruik van vakjargon.</t>
  </si>
  <si>
    <r>
      <t xml:space="preserve">Welke van de voorbeelden is </t>
    </r>
    <r>
      <rPr>
        <b/>
        <sz val="10"/>
        <rFont val="Arial"/>
        <family val="2"/>
      </rPr>
      <t>NIET geschikt</t>
    </r>
    <r>
      <rPr>
        <sz val="10"/>
        <rFont val="Arial"/>
      </rPr>
      <t>? Kruis die aan in het lichtgele vakje.</t>
    </r>
  </si>
  <si>
    <t>48.</t>
  </si>
  <si>
    <t>"het neerleggen van de macht die nodig is om veranderingen door</t>
  </si>
  <si>
    <t>Empowerment is in die zin dus hetzelfde als 'gedeeld leiderschap'.</t>
  </si>
  <si>
    <t>49.</t>
  </si>
  <si>
    <t>Plaats een kruisje (x) achter het juiste antwoord. NB: meerdere juiste of onjuiste antwoorden zijn mogelijk! (1 punt per elk juist antwoord)</t>
  </si>
  <si>
    <t>(1 punt per elk juist antwoord)</t>
  </si>
  <si>
    <t>items die ervoor staan. (1 punt per elke juist antwoord)</t>
  </si>
  <si>
    <t>tot</t>
  </si>
  <si>
    <t>1 antw =</t>
  </si>
  <si>
    <t>Subscore m.b.t. hoofdstuk 1:</t>
  </si>
  <si>
    <t>Subscore m.b.t. hoofdstuk 2:</t>
  </si>
  <si>
    <t>Subscore m.b.t. hoofdstuk 3:</t>
  </si>
  <si>
    <t>Subscore m.b.t. hoofdstuk 4:</t>
  </si>
  <si>
    <t>Subscore m.b.t. hoofdstuk 5:</t>
  </si>
  <si>
    <t>Subscore m.b.t. hoofdstuk 6:</t>
  </si>
  <si>
    <t>Totale eindscore:</t>
  </si>
  <si>
    <t>Het totaal aantal vragen waarvoor 1 punt te scoren is bedraagt:</t>
  </si>
  <si>
    <t>Vertaald in een cijfer, is uw eindcijfer:</t>
  </si>
  <si>
    <t>Gefeliciteerd☺!</t>
  </si>
  <si>
    <t>Afbeelding:</t>
  </si>
  <si>
    <t>The Waterfall</t>
  </si>
  <si>
    <t>van Escher.</t>
  </si>
  <si>
    <t>Dit is in feite een symbolische</t>
  </si>
  <si>
    <t>uitdrukking van het begrip</t>
  </si>
  <si>
    <t>'cyclisch'.</t>
  </si>
  <si>
    <t>Bedrijf X behoort tot de categorie midden- en kleinbedrijf (MKB).</t>
  </si>
  <si>
    <t>De ondernemer heeft zo'n 50 man personeel. Zij produceren</t>
  </si>
  <si>
    <t>hoogwaardige technische installaties, ook voor de internationale markt.</t>
  </si>
  <si>
    <t>De medewerkers vormen een hecht team waar je als buitenstaander</t>
  </si>
  <si>
    <t>niet zomaar even tussenkomt. Daarentegen zijn de medewerkers wel</t>
  </si>
  <si>
    <t>Is hier sprake van een flexibele, open organisatiesysteem of een</t>
  </si>
  <si>
    <t>gesloten organisatiesysteem?</t>
  </si>
  <si>
    <t>Een relatief flexibel, open systeem.</t>
  </si>
  <si>
    <t>Een relatief gesloten systeem.</t>
  </si>
  <si>
    <t>de toepassing van HRM van grote waarde is.</t>
  </si>
  <si>
    <t>Plaats hier rechts, een kruisje (x) achter het juiste antwoord.</t>
  </si>
  <si>
    <t>Vul in het geel gemarkeerde rechthoekje onderaan de afbeelding de tekst in zoals die in bovengenoemd boek staat.</t>
  </si>
  <si>
    <r>
      <t xml:space="preserve">Hieronder staan al 4 van de 5 kernelementen benoemd. </t>
    </r>
    <r>
      <rPr>
        <i/>
        <sz val="10"/>
        <rFont val="Arial"/>
        <family val="2"/>
      </rPr>
      <t>Vul de ontbrekende nummer 5 hieronder in, in het lichtgele vakje.</t>
    </r>
  </si>
  <si>
    <t>Vul hieronder in wat dat kenmerk is.</t>
  </si>
  <si>
    <t>Het personeelsbestand betreft de hoeveelheid personeel dat op een</t>
  </si>
  <si>
    <t>bepaald moment in dienst is van een organisatie.</t>
  </si>
  <si>
    <t>Bezettingscijfers geven inzicht in de omvang van het personeelsbestand</t>
  </si>
  <si>
    <t>op een bepaald moment.</t>
  </si>
  <si>
    <t>De afkorting FTE staat voor Full Technology E-hrm.</t>
  </si>
  <si>
    <t>Formatiecijfers geven aan hoe een afdeling geformeerd, samen-</t>
  </si>
  <si>
    <t>gesteld is.</t>
  </si>
  <si>
    <t>FTE's zijn een relatieve weergave van de bezettingscijfers.</t>
  </si>
  <si>
    <t>Uit kengetallen omtent opleidingsniveaus van het personeel kan men</t>
  </si>
  <si>
    <t>opmaken of het personeel voldoet aan het gewenste opleidingsniveau.</t>
  </si>
  <si>
    <t>Arbeidsproductiviteit geeft de mate van de motivatie van het personeel</t>
  </si>
  <si>
    <t>aan, afgezet tegen de hoeveelheid productie.</t>
  </si>
  <si>
    <t>18.</t>
  </si>
  <si>
    <t>proces dan andere managementprocessen. Daarom loopt een</t>
  </si>
  <si>
    <t>Is deze stelling juist?</t>
  </si>
  <si>
    <t>De stelling is:</t>
  </si>
  <si>
    <t>JUIST</t>
  </si>
  <si>
    <t>De stelling is</t>
  </si>
  <si>
    <t>FOUT</t>
  </si>
  <si>
    <t>19.</t>
  </si>
  <si>
    <t>tijd en energie steekt in HRM.</t>
  </si>
  <si>
    <t>Een geringere uitstroom van zijn personeel.</t>
  </si>
  <si>
    <t>Een relatief geringer ziekteverzuim van zijn personeel.</t>
  </si>
  <si>
    <t xml:space="preserve"> 'terugkrijgt' wanneer hij in z'n dagelijkse werkzaamheden de nodige</t>
  </si>
  <si>
    <t>Een betere stijl van leidinggeven.</t>
  </si>
  <si>
    <t>Plaats hieronder een kruisje (x) achter het juiste (tricky!!!) antwoord.</t>
  </si>
  <si>
    <t>20.</t>
  </si>
  <si>
    <t>21.</t>
  </si>
  <si>
    <t>Hierover kunnen de meningen verschillen en men kan er interessante</t>
  </si>
  <si>
    <t>stellingen op loslaten. Hieronder staan er een aantal.</t>
  </si>
  <si>
    <t>Een manager krijgt niet per definitie gemotiveerder personeel 'terug' wanneer hij investeert in HRM, want het verband tussen HRM-investering en gemotiveerder personeel is nooit wetenschappelijk aangetoond.</t>
  </si>
  <si>
    <t>Stelling is FOUT</t>
  </si>
  <si>
    <r>
      <t xml:space="preserve">Juist </t>
    </r>
    <r>
      <rPr>
        <b/>
        <sz val="10"/>
        <rFont val="Arial"/>
        <family val="2"/>
      </rPr>
      <t>EN</t>
    </r>
    <r>
      <rPr>
        <sz val="10"/>
        <rFont val="Arial"/>
      </rPr>
      <t xml:space="preserve"> fout!</t>
    </r>
  </si>
  <si>
    <t>Meer investering door de (lijn-)manager in HRM betekent NIET meer veiligheid voor het personeel, want veiligheid valt onder de ARBO-wet is geen onderdeel van HRM.</t>
  </si>
  <si>
    <t>H.</t>
  </si>
  <si>
    <t>I.</t>
  </si>
  <si>
    <t>22.</t>
  </si>
  <si>
    <t>zogenaamde 'zachte' factoren, en daarom is er op het gebied van</t>
  </si>
  <si>
    <r>
      <t xml:space="preserve">is </t>
    </r>
    <r>
      <rPr>
        <b/>
        <sz val="10"/>
        <rFont val="Arial"/>
        <family val="2"/>
      </rPr>
      <t>juist</t>
    </r>
  </si>
  <si>
    <r>
      <t>is</t>
    </r>
    <r>
      <rPr>
        <b/>
        <sz val="10"/>
        <rFont val="Arial"/>
        <family val="2"/>
      </rPr>
      <t xml:space="preserve"> juist</t>
    </r>
  </si>
  <si>
    <r>
      <t xml:space="preserve">Alleen </t>
    </r>
    <r>
      <rPr>
        <b/>
        <sz val="10"/>
        <rFont val="Arial"/>
        <family val="2"/>
      </rPr>
      <t>stelling 1</t>
    </r>
  </si>
  <si>
    <r>
      <t xml:space="preserve">Alleen </t>
    </r>
    <r>
      <rPr>
        <b/>
        <sz val="10"/>
        <rFont val="Arial"/>
        <family val="2"/>
      </rPr>
      <t>stelling 2</t>
    </r>
  </si>
  <si>
    <t>Stelling 1 en 2</t>
  </si>
  <si>
    <t>Wilt u wat meer weten over het begrip 'Missie'? Klik hieronder:</t>
  </si>
  <si>
    <t>Internetfilmpje</t>
  </si>
  <si>
    <t>Plaats hiernaast een kruisje (x) onder het juiste antwoord.</t>
  </si>
  <si>
    <t>23.</t>
  </si>
  <si>
    <t>Vul het gele vakje in met het juiste item.</t>
  </si>
  <si>
    <t>HRM-beleid</t>
  </si>
  <si>
    <t>(HRM-)activiteiten</t>
  </si>
  <si>
    <t>Hiernaast staat de kern van het proces om van MDVS te komen tot</t>
  </si>
  <si>
    <t>ingevuld (gele vakje).</t>
  </si>
  <si>
    <t>24.</t>
  </si>
  <si>
    <t>('vertaalslag')</t>
  </si>
  <si>
    <t>Controle/bijstelling</t>
  </si>
  <si>
    <t>score H1:</t>
  </si>
  <si>
    <t>van:</t>
  </si>
  <si>
    <t>score =</t>
  </si>
  <si>
    <t>Competentere medewerkers.</t>
  </si>
  <si>
    <t>Ok; in balans.</t>
  </si>
  <si>
    <t>Under-controlled.</t>
  </si>
  <si>
    <t>Over-controlled.</t>
  </si>
  <si>
    <t>Kruis hiernaast het juiste antwoord aan.</t>
  </si>
  <si>
    <t>26.</t>
  </si>
  <si>
    <t>27.</t>
  </si>
  <si>
    <t>Ontwikkelen</t>
  </si>
  <si>
    <t>Betrekken</t>
  </si>
  <si>
    <t>Gezond blijven</t>
  </si>
  <si>
    <t>Beoordelen</t>
  </si>
  <si>
    <t>Belonen</t>
  </si>
  <si>
    <t>Doorstromen</t>
  </si>
  <si>
    <t>Analyse verzuimcijfers</t>
  </si>
  <si>
    <t>Integratieplan, SMT, etc</t>
  </si>
  <si>
    <t>Contact houden</t>
  </si>
  <si>
    <t>Preventie (RIE, etc)</t>
  </si>
  <si>
    <t>Resultaatafspraken</t>
  </si>
  <si>
    <t>GAUSS-kromme</t>
  </si>
  <si>
    <t>Personeelsdossier</t>
  </si>
  <si>
    <t>Functioneringsgesprek</t>
  </si>
  <si>
    <t>Regels salarisverhoging</t>
  </si>
  <si>
    <t>Regels promotie/demotie</t>
  </si>
  <si>
    <t>Regels bonus, etc</t>
  </si>
  <si>
    <t>Klein-gebaar'-actie</t>
  </si>
  <si>
    <t>Sociaal plan</t>
  </si>
  <si>
    <t>Exit-gesprek</t>
  </si>
  <si>
    <t>Toepassing HR-instr.</t>
  </si>
  <si>
    <t>360-graden feedback</t>
  </si>
  <si>
    <t>Loopbaanbegeleiding</t>
  </si>
  <si>
    <t>Coaching</t>
  </si>
  <si>
    <t>Studiekostenregeling</t>
  </si>
  <si>
    <t>MD-trajecten</t>
  </si>
  <si>
    <t>Afdelingsplan</t>
  </si>
  <si>
    <t>Functieprofiel</t>
  </si>
  <si>
    <t>Interne vacaturebank</t>
  </si>
  <si>
    <t>STAR-methode, ACM</t>
  </si>
  <si>
    <t>Arbeidsvoorwaarden</t>
  </si>
  <si>
    <t>Salaristabel</t>
  </si>
  <si>
    <t>Introductieprogr.</t>
  </si>
  <si>
    <t>Hiernaast staat een overzicht van Essent, voor lijnmanagers, met</t>
  </si>
  <si>
    <t>daarin de HRM-instrumenten (regelgevingen en hulpmiddelen) die</t>
  </si>
  <si>
    <t>een lijnmanager/leidinggevende volgens Essent minimaal moet</t>
  </si>
  <si>
    <t>(regelgeving / hulpmiddel). Vul aldaar de lichtgele vakjes in met</t>
  </si>
  <si>
    <t>In de bovenste groep ontbreekt de titel c.q. het kopje.</t>
  </si>
  <si>
    <t>Vul in het lichtgele vakje de juiste titel in.</t>
  </si>
  <si>
    <t>de juiste regelgeving c.q. het juiste hulpmiddel.</t>
  </si>
  <si>
    <r>
      <t xml:space="preserve">Ad </t>
    </r>
    <r>
      <rPr>
        <b/>
        <sz val="10"/>
        <rFont val="Arial"/>
        <family val="2"/>
      </rPr>
      <t>A</t>
    </r>
    <r>
      <rPr>
        <sz val="10"/>
        <rFont val="Arial"/>
      </rPr>
      <t>: "meer" is niet specifiek en niet meetbaar. Relevantie: terwijl dat personeel juist uitbesteed wordt? Nee! Trackable: ja, binnen 1 jaar.</t>
    </r>
  </si>
  <si>
    <r>
      <t xml:space="preserve">Ad </t>
    </r>
    <r>
      <rPr>
        <b/>
        <sz val="10"/>
        <rFont val="Arial"/>
        <family val="2"/>
      </rPr>
      <t>B</t>
    </r>
    <r>
      <rPr>
        <sz val="10"/>
        <rFont val="Arial"/>
      </rPr>
      <t>: Lekker specifiek, goed meetbaar en zeer relevant! Maar trackablity: ontbreekt.</t>
    </r>
  </si>
  <si>
    <t>28.</t>
  </si>
  <si>
    <t>Atainable</t>
  </si>
  <si>
    <t>Vul het maar eens in met een (denkbeeldig) vraagstuk en aantal</t>
  </si>
  <si>
    <t>fouten van boven (veel, max. 100), naar beneden (weinig, min. 1).</t>
  </si>
  <si>
    <t>personeelsinstrument te operationaliseren, is de bekende formule</t>
  </si>
  <si>
    <t>Hieronder is die formule voor een fictief hotel gebruikt.</t>
  </si>
  <si>
    <t>Het gaat om de</t>
  </si>
  <si>
    <t>W van:</t>
  </si>
  <si>
    <t>Voor hen zal het HRM-instrument 'training' worden ingezet.</t>
  </si>
  <si>
    <t>HRM voor de lijnmanager, uitgeverij Lemma/Boom, hoofdstuk 5.</t>
  </si>
  <si>
    <t>consideratie in dat een leidinggevende in staat is alle management-</t>
  </si>
  <si>
    <t>facetten evenwichtig in ogenschouw te nemen bij het bereiken van</t>
  </si>
  <si>
    <t>Productiegerichtheid</t>
  </si>
  <si>
    <t>Instrumenteel</t>
  </si>
  <si>
    <t>taakgericht leidinggeven</t>
  </si>
  <si>
    <t>werknemergerichtheid</t>
  </si>
  <si>
    <t>Geef een synoniem van het begrip 'structuur-initialisatie':</t>
  </si>
  <si>
    <t>Geef een synoniem van het begrip 'consideratie':</t>
  </si>
  <si>
    <t>Managerial Grid</t>
  </si>
  <si>
    <t>op het functioneren van de medewerkers. Daarom is de bedrijfscultuur</t>
  </si>
  <si>
    <t>voor HRM een belangrijk onderwerp.</t>
  </si>
  <si>
    <t>De bedrijfscultuur wordt vaak afgebeeld als een doorgesneden ui:</t>
  </si>
  <si>
    <t>afgebeeld, namelijk op de plek van het lichtgele vakje.</t>
  </si>
  <si>
    <t>Welk kenmerkend aspect moet dat zijn?</t>
  </si>
  <si>
    <t>Vul in het gele vakje het ontbrekende aspect in. Als je antwoord juist is, kleurt het vakje vanzelf groen.</t>
  </si>
  <si>
    <t>Gebruiken, aanvallen</t>
  </si>
  <si>
    <t>anticiperen</t>
  </si>
  <si>
    <t>voorkomen</t>
  </si>
  <si>
    <t>ombuigen</t>
  </si>
  <si>
    <t>benutten</t>
  </si>
  <si>
    <t>aanvallen</t>
  </si>
  <si>
    <t>De betrokkenheid van medewerkers bij de organsatie fluctueert,</t>
  </si>
  <si>
    <t>afhankelijk van allerlei (DESTEMP-)factoren. In 2001 (bron: Gids voor</t>
  </si>
  <si>
    <t>Personeelsmanagement nr.17) was door Jong Management onderzoek</t>
  </si>
  <si>
    <t>Medewerkers volgens u</t>
  </si>
  <si>
    <t>Werkgevers volgens u</t>
  </si>
  <si>
    <t>Medewerkers volgens onderzoek</t>
  </si>
  <si>
    <t>Werkgevers volgens onderzoek</t>
  </si>
  <si>
    <t>(Ook dit soort wetenswaardigheden staan in het leerboekje "HRM voor de lijnmanager" van uitgeverij Lemma / Boom.)</t>
  </si>
  <si>
    <r>
      <t xml:space="preserve">Geef hiernaast je inschatting van hoe belangrijk </t>
    </r>
    <r>
      <rPr>
        <b/>
        <i/>
        <sz val="10"/>
        <rFont val="Arial"/>
        <family val="2"/>
      </rPr>
      <t>medewerkers</t>
    </r>
    <r>
      <rPr>
        <i/>
        <sz val="10"/>
        <rFont val="Arial"/>
        <family val="2"/>
      </rPr>
      <t xml:space="preserve"> destijds</t>
    </r>
  </si>
  <si>
    <r>
      <t xml:space="preserve">En hiernaast je inschatting van hoe belangrijk de </t>
    </r>
    <r>
      <rPr>
        <b/>
        <i/>
        <sz val="10"/>
        <rFont val="Arial"/>
        <family val="2"/>
      </rPr>
      <t>werkgevers</t>
    </r>
  </si>
  <si>
    <t>nvt.</t>
  </si>
  <si>
    <t>Strategy</t>
  </si>
  <si>
    <t>Systems</t>
  </si>
  <si>
    <t>Vul de ontbrekende S-en in.</t>
  </si>
  <si>
    <t>Structure</t>
  </si>
  <si>
    <t>Style</t>
  </si>
  <si>
    <t>waarbij een drietal S-en (die erg HRM-relevant zijn) nog ontbreken.</t>
  </si>
  <si>
    <t>Dat zonder 'Strategy', de andere S-en niet kunnen functioneren.</t>
  </si>
  <si>
    <t>Wat is de 'boodschap' van het 7S-model van McKinsey?</t>
  </si>
  <si>
    <t>Dat de S van Shared values alleen kan bestaan wanneer de andere S-en adequaat op elkaar zijn afgestemd.</t>
  </si>
  <si>
    <r>
      <t xml:space="preserve">Alleen </t>
    </r>
    <r>
      <rPr>
        <b/>
        <sz val="10"/>
        <rFont val="Arial"/>
        <family val="2"/>
      </rPr>
      <t>stelling 1</t>
    </r>
    <r>
      <rPr>
        <sz val="10"/>
        <rFont val="Arial"/>
      </rPr>
      <t xml:space="preserve"> is</t>
    </r>
    <r>
      <rPr>
        <b/>
        <sz val="10"/>
        <rFont val="Arial"/>
        <family val="2"/>
      </rPr>
      <t xml:space="preserve"> juist</t>
    </r>
  </si>
  <si>
    <t>Geef in de lichtgele vakjes aan of de voorbeelden juiste voorbeelden</t>
  </si>
  <si>
    <t>zijn of niet.</t>
  </si>
  <si>
    <t>Hieronder staan begrippen die voorbeelden van ken- en stuurgetallen</t>
  </si>
  <si>
    <t>rentabiliteit</t>
  </si>
  <si>
    <t>verzuimpercentages</t>
  </si>
  <si>
    <t>rubriceringsoverzichten naar salarisklassen</t>
  </si>
  <si>
    <t>solvabiliteit</t>
  </si>
  <si>
    <t>gemiddelde arbeidsproductiviteit</t>
  </si>
  <si>
    <t>FTE-overzichten per afdeling</t>
  </si>
  <si>
    <t>gemiddeld inkoopvolume per maand</t>
  </si>
  <si>
    <r>
      <t>Juist</t>
    </r>
    <r>
      <rPr>
        <sz val="10"/>
        <rFont val="Arial"/>
      </rPr>
      <t xml:space="preserve"> voorbeeld</t>
    </r>
  </si>
  <si>
    <r>
      <t>Fout</t>
    </r>
    <r>
      <rPr>
        <sz val="10"/>
        <rFont val="Arial"/>
      </rPr>
      <t xml:space="preserve"> voorbeeld</t>
    </r>
  </si>
  <si>
    <t>Voorbeeld van enkele kengetallen van twee zeer verschillende organisaties</t>
  </si>
  <si>
    <t>(brongegevens IntermediairPW september 2008)</t>
  </si>
  <si>
    <t>Kengetallen t.a.v.:</t>
  </si>
  <si>
    <t>Ernst &amp; Young (profit)</t>
  </si>
  <si>
    <t>UWV (non-profit)</t>
  </si>
  <si>
    <t>Omvang personeel</t>
  </si>
  <si>
    <t>Vast / tijdelijk in %</t>
  </si>
  <si>
    <t>83 / 17</t>
  </si>
  <si>
    <t>95 / 5</t>
  </si>
  <si>
    <t>&lt; 30 jaar in %</t>
  </si>
  <si>
    <t>30-50 jaar in %</t>
  </si>
  <si>
    <t>&gt; 50 jaar in %</t>
  </si>
  <si>
    <t>Gem. instroom in %</t>
  </si>
  <si>
    <t>Gem. uitstroom in %</t>
  </si>
  <si>
    <t>Gem. opleidingsbudget per medewerker (2006)</t>
  </si>
  <si>
    <t>Gem. ZiekteVerzuim (excl. zwangerschap) in %</t>
  </si>
  <si>
    <t>A</t>
  </si>
  <si>
    <t>B</t>
  </si>
  <si>
    <t>C</t>
  </si>
  <si>
    <t>D</t>
  </si>
  <si>
    <t>E</t>
  </si>
  <si>
    <t>F</t>
  </si>
  <si>
    <t>G</t>
  </si>
  <si>
    <t>H</t>
  </si>
  <si>
    <t>I</t>
  </si>
  <si>
    <t>draait goed. Gedurende de economische crisis zou het handig zijn om het</t>
  </si>
  <si>
    <t>personeel van de zwakke afdelingen tijdelijk in te kunnen zetten bij de</t>
  </si>
  <si>
    <t>goed draaiende afdeling. Qua competenties zou dat geen probleem moeten</t>
  </si>
  <si>
    <t>zijn, maar het personeel is zoiets totaal nog niet gewend.</t>
  </si>
  <si>
    <t>Wat zou in dit kader een geschikt, voor de handliggend personeelsdoel zijn?</t>
  </si>
  <si>
    <t>Ik wil met het personeel bereiken dat hun</t>
  </si>
  <si>
    <t>vergroot wordt.</t>
  </si>
  <si>
    <t>50.</t>
  </si>
  <si>
    <t xml:space="preserve"> SMART.</t>
  </si>
  <si>
    <t>Schrijf achter elke definitie het juiste HRM-begrip.</t>
  </si>
  <si>
    <t>De leden van een groep of afdeling wisselen regelmatig van werkplek.</t>
  </si>
  <si>
    <t>Het takenpakket van een medewerker wordt uitgebreid met taken</t>
  </si>
  <si>
    <t>van een hoger / complexer niveau.</t>
  </si>
  <si>
    <t>van een gelijk niveau c.q. gelijke moeilijkheidsgraad.</t>
  </si>
  <si>
    <t>In het Nederlands:</t>
  </si>
  <si>
    <t>In het Engels:</t>
  </si>
  <si>
    <t>taakverruiming</t>
  </si>
  <si>
    <t>taakverrijking</t>
  </si>
  <si>
    <t>job roulation</t>
  </si>
  <si>
    <t>job enrichment</t>
  </si>
  <si>
    <t>job enlargement</t>
  </si>
  <si>
    <t>taakroulatie</t>
  </si>
  <si>
    <t>51.</t>
  </si>
  <si>
    <t>Regelcapaciteit</t>
  </si>
  <si>
    <t>consument</t>
  </si>
  <si>
    <t>Productkennis</t>
  </si>
  <si>
    <t>Prijs</t>
  </si>
  <si>
    <t>(groen) Imago</t>
  </si>
  <si>
    <t>Mondigheid</t>
  </si>
  <si>
    <t>Bereikbaarheid</t>
  </si>
  <si>
    <t>Interne logistiek</t>
  </si>
  <si>
    <t>Overheidswetgeving</t>
  </si>
  <si>
    <t>Bedrijfscultuur</t>
  </si>
  <si>
    <t>ICT-systeem</t>
  </si>
  <si>
    <t>Gezondheidstrend</t>
  </si>
  <si>
    <t>Besluitvormings-</t>
  </si>
  <si>
    <t>processen</t>
  </si>
  <si>
    <t>Heldere MDVS</t>
  </si>
  <si>
    <t>Voldoende</t>
  </si>
  <si>
    <t>personeel</t>
  </si>
  <si>
    <t>Personeelskosten</t>
  </si>
  <si>
    <t>Samenwerkings-</t>
  </si>
  <si>
    <t>verbanden</t>
  </si>
  <si>
    <t>systeem</t>
  </si>
  <si>
    <t>Account-</t>
  </si>
  <si>
    <t>benadering</t>
  </si>
  <si>
    <t>Inkoopmanagement</t>
  </si>
  <si>
    <t>Achterstallig</t>
  </si>
  <si>
    <t>onderhoud gebouw</t>
  </si>
  <si>
    <t>Liquiditeit</t>
  </si>
  <si>
    <t>Mondialisering</t>
  </si>
  <si>
    <t>Recessie</t>
  </si>
  <si>
    <t>Hiernaast staat een SWOT-matrix afgebeeld van een gefingeerde</t>
  </si>
  <si>
    <t>De matrix is gevuld met S/W/O/T-items. Echter, niet al die items</t>
  </si>
  <si>
    <t>staan op de juiste plek. In sommige gevallen zijn er S-jes en W-tjes</t>
  </si>
  <si>
    <t>Als uw antwoord klopt, kleurt het vakje groen.</t>
  </si>
  <si>
    <t>Gekwalificeerd</t>
  </si>
  <si>
    <t>genoemd die O-tjes en T-tjes zijn, en andersom. Soms betreft het een</t>
  </si>
  <si>
    <t>oplossing in plaats van een S/W/O/T-item.</t>
  </si>
  <si>
    <t>(Beide soorten fouten komen trouwens vaak voor wanneer een SWOT-</t>
  </si>
  <si>
    <t>Verbetering service</t>
  </si>
  <si>
    <t>Vergrijzing &gt;</t>
  </si>
  <si>
    <t>Alleenstaanden &gt;</t>
  </si>
  <si>
    <t>leidinggeven</t>
  </si>
  <si>
    <t>Flexwetgeving</t>
  </si>
  <si>
    <t>Robotisering</t>
  </si>
  <si>
    <t>Eco-crisis</t>
  </si>
  <si>
    <t>Duurzaamheid</t>
  </si>
  <si>
    <t>Y-generatie</t>
  </si>
  <si>
    <t>Alternatieve</t>
  </si>
  <si>
    <t>brandstoffen</t>
  </si>
  <si>
    <t>Productkwaliteit</t>
  </si>
  <si>
    <t>Mondigheid klant&gt;</t>
  </si>
  <si>
    <t>Klachtregistratie-</t>
  </si>
  <si>
    <t>werken</t>
  </si>
  <si>
    <t>Individualisering</t>
  </si>
  <si>
    <t>Congesties &gt;</t>
  </si>
  <si>
    <t>Uitbestedingstrend</t>
  </si>
  <si>
    <t>organisatie, in dit geval een cateringbedrijf.</t>
  </si>
  <si>
    <t>Opwarming aarde</t>
  </si>
  <si>
    <t>Meeneem-</t>
  </si>
  <si>
    <t>maaltijden bieden</t>
  </si>
  <si>
    <t>HACCP-kennis</t>
  </si>
  <si>
    <t>Lange wachttijd</t>
  </si>
  <si>
    <r>
      <t xml:space="preserve">Aan u de taak om de </t>
    </r>
    <r>
      <rPr>
        <b/>
        <sz val="10"/>
        <rFont val="Arial"/>
        <family val="2"/>
      </rPr>
      <t>fouten aan te kruisen</t>
    </r>
    <r>
      <rPr>
        <sz val="10"/>
        <rFont val="Arial"/>
      </rPr>
      <t xml:space="preserve"> door in de gele vakken</t>
    </r>
  </si>
  <si>
    <t>achter de SWOT-items een kruisje (x) te plaatsen, wanneer volgens u</t>
  </si>
  <si>
    <t>een item onterecht in het rijtje staat.</t>
  </si>
  <si>
    <t>S-jes:</t>
  </si>
  <si>
    <t>W-tjes:</t>
  </si>
  <si>
    <t>O-tjes:</t>
  </si>
  <si>
    <t>T-tjes:</t>
  </si>
  <si>
    <t>NB: er zijn totaal 14 punten te behalen (1 per ontdekt item).</t>
  </si>
  <si>
    <t>enz.</t>
  </si>
  <si>
    <t>Hiernaast staat in het klein wederom de SWOT-matrix afgebeeld.</t>
  </si>
  <si>
    <t>Deze keer gaat het niet om de S/W/O/T-items, maar om het midden-</t>
  </si>
  <si>
    <t>deel van de matrix; daar waar de items gerelateerd worden.</t>
  </si>
  <si>
    <t>Het gaat dus om de vier grote vakken met vet-zwarte randen.</t>
  </si>
  <si>
    <t>Aan u de taak om in die drie vakken, in de gele gebieden, de</t>
  </si>
  <si>
    <t>betekenis van elk quadrant aan te geven.</t>
  </si>
  <si>
    <t>In het quadrant linksboven staat al aangegeven wat de strategische</t>
  </si>
  <si>
    <t>De andere drie quadranten zijn nog niet ingevuld.</t>
  </si>
  <si>
    <t>verdedigen</t>
  </si>
  <si>
    <t>aanpassen</t>
  </si>
  <si>
    <t>overleven</t>
  </si>
  <si>
    <t xml:space="preserve">Een lijnmanager van een van de afdelingen stelt met betrekking tot zijn </t>
  </si>
  <si>
    <t>personeel daarna het volgende personeelsdoel:</t>
  </si>
  <si>
    <t>versterking van teamwork en het 'wij-gevoel'.</t>
  </si>
  <si>
    <t>gestelde personeelsdoel vindt:</t>
  </si>
  <si>
    <t>Een academie van een hogeschool heeft medewerkers die over het</t>
  </si>
  <si>
    <t>zelfs te zien als een valkuil: men wil soms te veel, te snel.</t>
  </si>
  <si>
    <t>Zoals elk jaar is er in augustus een 'heidag' voor het voltallige personeel.</t>
  </si>
  <si>
    <t>Dit jaar krijgt het personeel een training in creatief denken. Reden</t>
  </si>
  <si>
    <t>academie vernieuwende wegen gaat inslaan om de concurrentie</t>
  </si>
  <si>
    <t>voor te blijven.</t>
  </si>
  <si>
    <t>Na de heidag kiezen de meeste leidinggevenden van de academie voor</t>
  </si>
  <si>
    <t>het volgende personeelsdoel voor hun team: vergroting van het</t>
  </si>
  <si>
    <t>creativiteitsvermogen van de teamleden.</t>
  </si>
  <si>
    <t>personeelsdoel kunnen verwoorden?</t>
  </si>
  <si>
    <t>Vul hieronder uw alternatief personeelsdoel in:</t>
  </si>
  <si>
    <t>Motiveer hieronder kort en krachtig wat u van het personeelsdoel vindt:</t>
  </si>
  <si>
    <t>Motiveer hieronder kort en krachtig wat u van het door de lijnmanager</t>
  </si>
  <si>
    <t>Bestudeer de casusinformatie van de vorige vraag (vraag 7).</t>
  </si>
  <si>
    <t>wordt de ICOTAKS-methode aangereikt, waarbij de hoofdletters staan</t>
  </si>
  <si>
    <t>voor bepaalde handelingen die men in het kader van de methode</t>
  </si>
  <si>
    <t>Bij een juist antwoord krijgt u daarover een groengekleurd bericht.</t>
  </si>
  <si>
    <t>De vakjes kleuren groen als uw antwoorden juist zijn.</t>
  </si>
  <si>
    <t>De antwoordvakjes kleuren groen als uw antwoorden juist zijn.</t>
  </si>
  <si>
    <t>I=</t>
  </si>
  <si>
    <t>C=</t>
  </si>
  <si>
    <t>O=</t>
  </si>
  <si>
    <t>T=</t>
  </si>
  <si>
    <t>A=</t>
  </si>
  <si>
    <t>K=</t>
  </si>
  <si>
    <t>S=</t>
  </si>
  <si>
    <t>uit interne/externe analyse verzamelen.</t>
  </si>
  <si>
    <t>personeelsdoelen formuleren.</t>
  </si>
  <si>
    <t>en inventariseren personeelsdoelen.</t>
  </si>
  <si>
    <t>Criteria</t>
  </si>
  <si>
    <t>Orienteren</t>
  </si>
  <si>
    <t>van de uitkomsten.</t>
  </si>
  <si>
    <t>formulueren van personeelsdoel(en).</t>
  </si>
  <si>
    <t>Keuze</t>
  </si>
  <si>
    <t>Analyseren</t>
  </si>
  <si>
    <t>Wilt u de juiste antwoorden weten? Zet dan hiernaast een kruisje (x):</t>
  </si>
  <si>
    <t>van personeelsdoelen aan de criteria.</t>
  </si>
  <si>
    <r>
      <t>S</t>
    </r>
    <r>
      <rPr>
        <sz val="10"/>
        <rFont val="Arial"/>
      </rPr>
      <t>MART</t>
    </r>
  </si>
  <si>
    <r>
      <t>T</t>
    </r>
    <r>
      <rPr>
        <sz val="10"/>
        <rFont val="Arial"/>
      </rPr>
      <t>oetsen</t>
    </r>
  </si>
  <si>
    <r>
      <t>I</t>
    </r>
    <r>
      <rPr>
        <sz val="10"/>
        <rFont val="Arial"/>
      </rPr>
      <t>nformatie</t>
    </r>
  </si>
  <si>
    <t>maken (geschiktste personeelsdoel).</t>
  </si>
  <si>
    <t>moet verrichten om personeelsdoelen en/of -instrumenten te formuleren.</t>
  </si>
  <si>
    <t>Het gele vakje moet door u ingevuld worden.</t>
  </si>
  <si>
    <t>managementmodel dat ook bij HRM bruikbaar is als analyse-hulpmiddel.</t>
  </si>
  <si>
    <t>IST</t>
  </si>
  <si>
    <t>SOLL</t>
  </si>
  <si>
    <t>Analyse</t>
  </si>
  <si>
    <t>GAP</t>
  </si>
  <si>
    <t>om simpel en snel (maar minder betrouwbaar en secuur dan via</t>
  </si>
  <si>
    <t>diverse andere modellen) tot verwoording van een relevant personeels-</t>
  </si>
  <si>
    <t>doel te komen.</t>
  </si>
  <si>
    <t>Bekijk de afbeelding in het boek.</t>
  </si>
  <si>
    <t>Stel dat er een andere probleemsituatie van toepassing zou zijn:</t>
  </si>
  <si>
    <t>dan dat het verstandig is om snel extra personeel te gaan werven?</t>
  </si>
  <si>
    <t>dan dat het verstandig is om snel de uitstroom van personeel tegen</t>
  </si>
  <si>
    <t>te gaan?</t>
  </si>
  <si>
    <t>uitkomsten en beantwoord vervolgens de volgende vragen (door rechts</t>
  </si>
  <si>
    <t>JA!</t>
  </si>
  <si>
    <t>NEE (instinker)</t>
  </si>
  <si>
    <t>Afgelopen jaar konden de verplegers van een ziekenhuis per uur</t>
  </si>
  <si>
    <t>Dit jaar konden de verplegers van datzelfde ziekenhuis per uur</t>
  </si>
  <si>
    <t>De norm voor het bieden van de standaardverzorging was en is nog</t>
  </si>
  <si>
    <t>De werkdruk van de verplegers is dit jaar hoger geworden.</t>
  </si>
  <si>
    <t>De productiekosten zijn dit jaar lager dan vorig jaar.</t>
  </si>
  <si>
    <t>Er is dit jaar sprake van ondercapaciteit van de productie.</t>
  </si>
  <si>
    <t>Er is dit jaar te weinig nieuw personeel aangenomen.</t>
  </si>
  <si>
    <t>JA, zit er dik in!</t>
  </si>
  <si>
    <t>NEE, andersom!</t>
  </si>
  <si>
    <t>NEE, kan allerlei oorzaken hebben!</t>
  </si>
  <si>
    <t>Vorig jaar was er meer kapitaal voor de zorgproductie beschikbaar.</t>
  </si>
  <si>
    <t>J</t>
  </si>
  <si>
    <t>personeelsbeschikbaarheid bepalen.</t>
  </si>
  <si>
    <t>Geef in het hiernaast staande overzicht per factor aan of het behoort</t>
  </si>
  <si>
    <t>tot de zijde van personeelsbehoefte of tot de personeelsbeschikbaarheid.</t>
  </si>
  <si>
    <t>P-beschikbaarheid</t>
  </si>
  <si>
    <t>P-behoefte</t>
  </si>
  <si>
    <t>W&amp;S van nieuw personeel</t>
  </si>
  <si>
    <t>Flexibilisering van de inzetbaarheid</t>
  </si>
  <si>
    <t>Aanpassing van werkprocessen</t>
  </si>
  <si>
    <t>Aanpassing van de werkmethoden</t>
  </si>
  <si>
    <t>Tegengaan van ZiekteVerzuim</t>
  </si>
  <si>
    <t>Verminderen van de uitstroom</t>
  </si>
  <si>
    <t>Organiseren van personeelspools</t>
  </si>
  <si>
    <t>Filmpje over</t>
  </si>
  <si>
    <t>Pareto?</t>
  </si>
  <si>
    <t>Klik HIER</t>
  </si>
  <si>
    <t>het Ishikawa-</t>
  </si>
  <si>
    <t>diagram?</t>
  </si>
  <si>
    <t>Klopt deze bewering? Kruis hiernaast het juiste antwoord aan.</t>
  </si>
  <si>
    <t>Ja, de bewering klopt.</t>
  </si>
  <si>
    <t>Nee, het is in feite precies andersom.</t>
  </si>
  <si>
    <t>52.</t>
  </si>
  <si>
    <t>Streef in een taak naar voldoende:</t>
  </si>
  <si>
    <t>Maak voldoende aanspraak op vaardigheden en leermogelijkheden.</t>
  </si>
  <si>
    <t>Zorg voor een complete taak.</t>
  </si>
  <si>
    <t>Steef naar voldoende:</t>
  </si>
  <si>
    <t>Zorg voor voldoende informatie om een taak uit te kunnen voeren.</t>
  </si>
  <si>
    <t>Bewaak de balans tussen complexiteit en capaciteiten.</t>
  </si>
  <si>
    <t>van een taak. Hieronder staan ze. De A en F moet u zelf nog aanvullen ……</t>
  </si>
  <si>
    <t>53.</t>
  </si>
  <si>
    <t>54.</t>
  </si>
  <si>
    <t>Kruis in de lichtgele vakjes aan waar ze onder vallen.</t>
  </si>
  <si>
    <t>Positieve invloed van technologie op de werk/prive-balans.</t>
  </si>
  <si>
    <t>Uitdagend werk.</t>
  </si>
  <si>
    <t>Invloed op de beslissingen die op de afdeling genomen worden.</t>
  </si>
  <si>
    <t>Aantrekken</t>
  </si>
  <si>
    <t>Behouden</t>
  </si>
  <si>
    <t>Motiveren</t>
  </si>
  <si>
    <t>Uit onderzoek van Jungjohann &amp; Nijkamp (2008) blijkt dat er bepaalde drijfveren</t>
  </si>
  <si>
    <t>zijn om medewerkers aan te trekken, te behouden (retentie) en te motiveren</t>
  </si>
  <si>
    <t>55.</t>
  </si>
  <si>
    <t>aan in de lichtgele vakken rechts.</t>
  </si>
  <si>
    <t>Direct toezicht; onderlinge afstemming; instellen van liaisons; instellen</t>
  </si>
  <si>
    <t>van Mintzberg. Er ontbreken twee belangrijke. Geef de ontbrekende twee</t>
  </si>
  <si>
    <t>56.</t>
  </si>
  <si>
    <t>57.</t>
  </si>
  <si>
    <t>58.</t>
  </si>
  <si>
    <t>Is OVT nodig/wenselijk? Wie komen ervoor in aanmerking?</t>
  </si>
  <si>
    <t>Past het binnen het opleidingsbeleid? Welke OVT-vorm is het meest</t>
  </si>
  <si>
    <t>geschikt? Past de OVT-vorm bij de leerstijlen en motivatie van deelnemers?</t>
  </si>
  <si>
    <t>Welke practische aspecten gaan ermee gemoeid?</t>
  </si>
  <si>
    <t>Welke personeelsplanningsconsequenties brengt het met zich mee?</t>
  </si>
  <si>
    <t>Wat ontbreekt is een vraag over de:</t>
  </si>
  <si>
    <t>Hoe kunnen we de resultaten meten?</t>
  </si>
  <si>
    <t>59.</t>
  </si>
  <si>
    <t>Beloning van medewerkers kan men onderscheiden in drie specifiekere</t>
  </si>
  <si>
    <t>Financieel</t>
  </si>
  <si>
    <t>Niet-financieel</t>
  </si>
  <si>
    <t>Beloning</t>
  </si>
  <si>
    <t>Intrinsieke</t>
  </si>
  <si>
    <t>Extrinsieke</t>
  </si>
  <si>
    <t>60.</t>
  </si>
  <si>
    <t>61.</t>
  </si>
  <si>
    <t>mate van keuzevrijheid voor de werknemer biedt, spreekt men ook wel</t>
  </si>
  <si>
    <t>VB/Uitleg 'employee benefits'……..</t>
  </si>
  <si>
    <t>62.</t>
  </si>
  <si>
    <t>bij banken en verzekeraars tot wel 80% van het loon een vorm van</t>
  </si>
  <si>
    <t>63.</t>
  </si>
  <si>
    <t xml:space="preserve">Hieronder staan enkele voorbeelden van bestraffingsmaatregelen. </t>
  </si>
  <si>
    <t>Kruis in de lichtgele vakjes aan op welke maatregel de voorbeelden</t>
  </si>
  <si>
    <t>betrekking hebben.</t>
  </si>
  <si>
    <t>Schorsing</t>
  </si>
  <si>
    <t>Degradatie</t>
  </si>
  <si>
    <t>Mobbing</t>
  </si>
  <si>
    <t>Werknemer Hans wordt steeds overgeslagen wanneer aantrekkelijke</t>
  </si>
  <si>
    <t>taken worden verdeeld in het team.</t>
  </si>
  <si>
    <t>Hans wordt tijdelijk naar huis gestuurd nadat hij een klant onheus</t>
  </si>
  <si>
    <t>64.</t>
  </si>
  <si>
    <t>Als een medewerker in rang/functie achteruitgezet wordt, heet dat:</t>
  </si>
  <si>
    <t>degradatie</t>
  </si>
  <si>
    <t>mobbing</t>
  </si>
  <si>
    <t>De meest ernstige strafmaatregel voor een medewerker is:</t>
  </si>
  <si>
    <t>ontslag</t>
  </si>
  <si>
    <t>Het stimuleren en motiveren van medewerkers noemt men ook wel:</t>
  </si>
  <si>
    <t>coaching</t>
  </si>
  <si>
    <t>Een ander woord voor pesterij op het werk is:</t>
  </si>
  <si>
    <t>Wat vaak hand in hand gaat met functioneringsgesprekken is:</t>
  </si>
  <si>
    <t>beoordelen</t>
  </si>
  <si>
    <t>Een sollicitant niet aannemen voor de baan die hij opteert heet:</t>
  </si>
  <si>
    <t>afwijzing</t>
  </si>
  <si>
    <t>65.</t>
  </si>
  <si>
    <t>het opvangen van signalen van de werkvloer zodat de lijnmanager die</t>
  </si>
  <si>
    <t>tijdelijk op andere afdelingen ingezet te worden tijdens piekmomenten</t>
  </si>
  <si>
    <t>op die afdelingen. De gewenste situatie is dat het personeel veel meer</t>
  </si>
  <si>
    <t>bereid is flexibel ingezet te worden. Uit onderzoek is gebleken dat de</t>
  </si>
  <si>
    <t>weerstanden niet voortkomen uit onwil, maar uit onbegrip. Het personeel</t>
  </si>
  <si>
    <t>begrijpt vaak de noodzaak en wenselijkheid van hun flexibele inzet niet;</t>
  </si>
  <si>
    <t>zij beseffen niet waarom het zo belangrijk is dat ze af en toe inspringen</t>
  </si>
  <si>
    <t>bij andere afdelingen.</t>
  </si>
  <si>
    <t>Wat zou gezien bovenstaande casusinformatie een relevant en</t>
  </si>
  <si>
    <t>Vul uw antwoord hieronder in. NB: het hoeft niet super SMART</t>
  </si>
  <si>
    <t>verwoord te worden. Als uw antwoord ok is, kleurt het vak goren.</t>
  </si>
  <si>
    <t>Wilt u het juiste</t>
  </si>
  <si>
    <t>antwoord weten?</t>
  </si>
  <si>
    <t>Zet dan hieronder</t>
  </si>
  <si>
    <t>een kruisje (x):</t>
  </si>
  <si>
    <t>P-doel: vergroting van het inzicht/besef hoe belangrijk flexibele inzet van het personeel is om de organisatiedoelen te bereiken. Of iets van gelijke strekking.</t>
  </si>
  <si>
    <r>
      <t>S</t>
    </r>
    <r>
      <rPr>
        <sz val="10"/>
        <rFont val="Arial"/>
      </rPr>
      <t>trenghts</t>
    </r>
  </si>
  <si>
    <r>
      <t>W</t>
    </r>
    <r>
      <rPr>
        <sz val="10"/>
        <rFont val="Arial"/>
      </rPr>
      <t>eaknesses</t>
    </r>
  </si>
  <si>
    <t>In onderstaande invulvakjes voor de Pareto-analyse staan voorbeelden:</t>
  </si>
  <si>
    <t>van meest voorkomende fouten (bovenaan) naar minst voorkomende.</t>
  </si>
  <si>
    <t>personeelsdoelen te formuleren die gericht zijn op het voorkomen van</t>
  </si>
  <si>
    <t>die fouten. Het is een zeer praktische, operationele manier, waarbij de</t>
  </si>
  <si>
    <t>MDVS van een organisatie dus niet de invalshoek is.</t>
  </si>
  <si>
    <t>met elkaar samen: organisatiedoelen komen voort uit personeelsdoelen.</t>
  </si>
  <si>
    <t>SMART = Specific, Measurable, Attractive, Relevant en Trackable.</t>
  </si>
  <si>
    <t>Het juiste begrip</t>
  </si>
  <si>
    <t>moet zijn:</t>
  </si>
  <si>
    <t>Het foute begrip</t>
  </si>
  <si>
    <t>heeft betrekking</t>
  </si>
  <si>
    <t>op de hoofdletter:</t>
  </si>
  <si>
    <t xml:space="preserve">Ontdek de fout. Geef hiernaast eerst aan op welke hoofdletter uit de </t>
  </si>
  <si>
    <t>formule de fout betrekking heeft. Vul daarnaast het juiste begrip in.</t>
  </si>
  <si>
    <t>© E. van Soest</t>
  </si>
  <si>
    <t>van de overige facilitaire medewerkers een verbetering bevestigen via</t>
  </si>
  <si>
    <t>vragen daarover in het medewerkerstevredenheidsonderzoek.</t>
  </si>
  <si>
    <t>diverse afdelingen onder zijn hoede, waaronder de afdeling beveiliging.</t>
  </si>
  <si>
    <t>Hij heeft het besluit genomen om de beveiliging per komend jaar uit te</t>
  </si>
  <si>
    <t>besteden. Alle medewerkers zullen komende week daarover</t>
  </si>
  <si>
    <t>Zij hebben te weinig binding met de rest van het facilitair bedrijf.</t>
  </si>
  <si>
    <t>Daarom stelt de manager zich een bepaald personeelsdoel dat hij met</t>
  </si>
  <si>
    <t>Is het gestelde personeelsdoel in de context van de casus:</t>
  </si>
  <si>
    <t>Relevant?</t>
  </si>
  <si>
    <t>Measurable?</t>
  </si>
  <si>
    <t>Specifiek?</t>
  </si>
  <si>
    <t>Trackable?</t>
  </si>
  <si>
    <t>Nee, onvoldoende</t>
  </si>
  <si>
    <t>Matig</t>
  </si>
  <si>
    <t>Ja, voldoende</t>
  </si>
  <si>
    <t>N.v.t.: wordt hier buiten beschouwing gelaten.</t>
  </si>
  <si>
    <t>beveiligingsmedewerkers moeten tijdens de anonieme evaluatie</t>
  </si>
  <si>
    <t>aangegeven hebben dat zij het besluit van uitbesteding niet verwerpen.</t>
  </si>
  <si>
    <t>half</t>
  </si>
  <si>
    <t>39.</t>
  </si>
  <si>
    <t>Voorbereiding</t>
  </si>
  <si>
    <t>Werving</t>
  </si>
  <si>
    <t>Selectie</t>
  </si>
  <si>
    <t>Aanname/aanstelling</t>
  </si>
  <si>
    <t>staan niet aangegeven.</t>
  </si>
  <si>
    <t>Welke drie begrippen moeten daar ingevuld worden?</t>
  </si>
  <si>
    <t>Toevoeging:</t>
  </si>
  <si>
    <t>van functioneren in het werk zeker niet alleen afhangt van iemands IQ.</t>
  </si>
  <si>
    <t>Iemands Sociale Intelligentie blijkt ook van grote invloed.</t>
  </si>
  <si>
    <t>Neem een uitstapje en bekijk de zeer aanbevelenswaardige</t>
  </si>
  <si>
    <t>video door op de afbeelding rechts te klikken.</t>
  </si>
  <si>
    <t>40.</t>
  </si>
  <si>
    <t>De afkorting IAO staat voor: Interdisciplinair Arbeidsmarkt Overleg.</t>
  </si>
  <si>
    <t>Het tegenovergestelde / omgekeerde van het Horn-effect noemt men: het Halo-effect.</t>
  </si>
  <si>
    <t>universiteit heeft gestudeerd en de selecteurs alleen al daarom bijvoorbaat positief zijn.</t>
  </si>
  <si>
    <t>naar hoe hij terugkijkt op de besproken actie en wat volgens hem het resultaat was.</t>
  </si>
  <si>
    <r>
      <t>Een goed voorbeeld van de laatste R van de STAR</t>
    </r>
    <r>
      <rPr>
        <b/>
        <sz val="10"/>
        <rFont val="Arial"/>
        <family val="2"/>
      </rPr>
      <t>R</t>
    </r>
    <r>
      <rPr>
        <sz val="10"/>
        <rFont val="Arial"/>
      </rPr>
      <t>-methode is de kandidaat te vragen</t>
    </r>
  </si>
  <si>
    <t>De afkorting STAR (methode) staat voor: Situatie, Taak, Assessment en Reflectie.</t>
  </si>
  <si>
    <t>Gesloten vragen zijn hetzelfde als manipulatieve vragen.</t>
  </si>
  <si>
    <t xml:space="preserve">Het regelmatig (in een andere vorm) herhalen van een selectievraag tijdens een </t>
  </si>
  <si>
    <t>selectiegesprek vergroot de validiteit van de selectie.</t>
  </si>
  <si>
    <t>Outscouring.</t>
  </si>
  <si>
    <t>Payrolling.</t>
  </si>
  <si>
    <t>HR-specialisering.</t>
  </si>
  <si>
    <t>HR-standaardisering.</t>
  </si>
  <si>
    <t>De uitbestedingsvorm waarbij werknemers van een bedrijf formeel op</t>
  </si>
  <si>
    <t>oorspronkelijke werkgever, noemt men:</t>
  </si>
  <si>
    <t>Bepaling P-doelen</t>
  </si>
  <si>
    <t>en P-instrumenten</t>
  </si>
  <si>
    <t>Inzet, gebruik en</t>
  </si>
  <si>
    <t>toepassing van</t>
  </si>
  <si>
    <t>Afdelingen, teams en individuele medewerkers betreffend</t>
  </si>
  <si>
    <t>Totale personeels-bestand betreffend</t>
  </si>
  <si>
    <t>Hiernaast staat het 'HRM-verdelingsveld' in schema aangegeven.</t>
  </si>
  <si>
    <t>Vul het het lichtgele vak in met het juiste antwoord.</t>
  </si>
  <si>
    <t>Personeels-planning (kwantitatief en kwalitatief)</t>
  </si>
  <si>
    <t>Matching / afstemming</t>
  </si>
  <si>
    <t>Lijnmanager</t>
  </si>
  <si>
    <t>Medewerkers</t>
  </si>
  <si>
    <t>Ontwikkelbehoefte</t>
  </si>
  <si>
    <t>Ontwikkel-ondersteuning (facilitering)</t>
  </si>
  <si>
    <t>Ontwikkelvermogen</t>
  </si>
  <si>
    <t>Behoefte</t>
  </si>
  <si>
    <t>(wensen)</t>
  </si>
  <si>
    <t>Bereidheid</t>
  </si>
  <si>
    <t>(willen)</t>
  </si>
  <si>
    <t>Vermogen</t>
  </si>
  <si>
    <t>(kunnen)</t>
  </si>
  <si>
    <t>Structuur, beleid en (HRM-)instrumenten</t>
  </si>
  <si>
    <t>Ontwikkelbereidheid</t>
  </si>
  <si>
    <t>Hiernaast staat de zogeheten 'ontwikkelbalans' afgebeeld.</t>
  </si>
  <si>
    <t>Een 'losse' manier van onderlinge omgang op de werkvloer; als het ware het nastreven van een laissez-faire stijl van leidinggeven.</t>
  </si>
  <si>
    <t>Ja, dit is een typisch voorbeeld daarvan.</t>
  </si>
  <si>
    <t>Nee, dit is niet het HRM wat bedoeld wordt.</t>
  </si>
  <si>
    <t>6.</t>
  </si>
  <si>
    <t>7.</t>
  </si>
  <si>
    <t>8.</t>
  </si>
  <si>
    <t>E.</t>
  </si>
  <si>
    <t>Bagagetoerusting</t>
  </si>
  <si>
    <t>Organisatie-afstemming</t>
  </si>
  <si>
    <t>Open organisatie</t>
  </si>
  <si>
    <t>Systematisch managen van personeel</t>
  </si>
  <si>
    <t>schakel in met 'x'</t>
  </si>
  <si>
    <t>Zie vervolgens het (fictieve maar zeker niet ondenkbeeldige) effect in de grafiek hier rechts.</t>
  </si>
  <si>
    <t>9.</t>
  </si>
  <si>
    <t>personeelsbeoordeling via competentiemanagement, met de invalshoek</t>
  </si>
  <si>
    <t>grens' van te</t>
  </si>
  <si>
    <t>gedragsdimensies</t>
  </si>
  <si>
    <t>Waar ligt de maximale grens van het aantal gedragdimensies dat volgens</t>
  </si>
  <si>
    <t>Westen (1996) doorgaans nog zinvol is om te beoordelen? Vul uw antwoord in.</t>
  </si>
  <si>
    <t>83.</t>
  </si>
  <si>
    <t>Bestudeer onderstaande afbeelding. Welke belangrijke, veelgebruikte afkorting hoort in het zwart vlak</t>
  </si>
  <si>
    <t>Antwoord:</t>
  </si>
  <si>
    <t>PDCA</t>
  </si>
  <si>
    <t>84.</t>
  </si>
  <si>
    <t>Het model is 'cyclisch' van aard. Wat wordt daarmee bedoeld?</t>
  </si>
  <si>
    <t>Cyclisch wil zeggen: het is niet vierkant of rechthoekig, maar rond.</t>
  </si>
  <si>
    <t>Cyclisch wil zeggen: het herhaalt zich continu.</t>
  </si>
  <si>
    <t>Schrijf uw antwoord in het gele vak hieronder.</t>
  </si>
  <si>
    <t>13.</t>
  </si>
  <si>
    <t>Management &amp; Organisatie en HRM.</t>
  </si>
  <si>
    <t>Waarom/waartoe</t>
  </si>
  <si>
    <t>Waarheen</t>
  </si>
  <si>
    <t>Het HOE</t>
  </si>
  <si>
    <t>Het WAT</t>
  </si>
  <si>
    <t>Vul in het schema hiernaast op de juiste (gele) plaatsen de</t>
  </si>
  <si>
    <t>letters (M of D of V of S) in, die van toepassing zijn op de vier</t>
  </si>
  <si>
    <t>Item:</t>
  </si>
  <si>
    <t>MDVS invullen:</t>
  </si>
  <si>
    <t>Het vakje kleurt groen als uw antwoord juist is.</t>
  </si>
  <si>
    <t>ANTWOORD:</t>
  </si>
  <si>
    <t>14.</t>
  </si>
  <si>
    <t>onderling samenhangende middelen en activiteiten die invoer</t>
  </si>
  <si>
    <t>Input</t>
  </si>
  <si>
    <t>Op welk begrip heeft zijn definitie betrekking?</t>
  </si>
  <si>
    <t>Begrippen:</t>
  </si>
  <si>
    <t>DESTEMP</t>
  </si>
  <si>
    <t>Proces</t>
  </si>
  <si>
    <t>Throughput</t>
  </si>
  <si>
    <t>plaats kruisje (x)</t>
  </si>
  <si>
    <t>Plaats hiernaast een kruisje (x) achter het juiste antwoord.</t>
  </si>
  <si>
    <t>15.</t>
  </si>
  <si>
    <t>in plaats van dat zij systematisch te werk gaan en heel doelbewust,</t>
  </si>
  <si>
    <t>doelmatig, doordacht en doelgericht besluiten nemen.</t>
  </si>
  <si>
    <t>Zo blijkt uit onderzoek dat zij vaak meer begeleiding geven aan</t>
  </si>
  <si>
    <t>Is er een verband tussen de uitkomsten en de productiecapaciteit?</t>
  </si>
  <si>
    <t>JA</t>
  </si>
  <si>
    <t>NEE</t>
  </si>
  <si>
    <t>In vervolg op de vorige vraag/opdracht (24):</t>
  </si>
  <si>
    <t>85.</t>
  </si>
  <si>
    <t>info</t>
  </si>
  <si>
    <t>De arbeids- en sociale zekerheids wetgeving verandert zeer regelmatig.</t>
  </si>
  <si>
    <t>De kans bestaat dat wetten, regelingen en benamingen daarvan al</t>
  </si>
  <si>
    <t>weer veranderd zijn wanneer u dit leest.</t>
  </si>
  <si>
    <t>Desalniettemin wat vragen omtrent arbeidsongeschiktheid.</t>
  </si>
  <si>
    <t>Poortwachter</t>
  </si>
  <si>
    <t>Geef de afkorting van de benaming van het interne team dat in veel</t>
  </si>
  <si>
    <t>Een zeer belangrijke wetgeving is de Wet verbetering ….. (vul aan)</t>
  </si>
  <si>
    <t>SMT</t>
  </si>
  <si>
    <t>Geef de afkorting van een zeer belangrijke uitkeringsinstantie waar</t>
  </si>
  <si>
    <t>werknemers en werknemers in geval van arbeidsongeschiktheid vaak</t>
  </si>
  <si>
    <t>UWV</t>
  </si>
  <si>
    <t xml:space="preserve">kunnen in aanmerking komen voor een uitkering. </t>
  </si>
  <si>
    <t>Op grond van welke wet? (geef de afkorting)</t>
  </si>
  <si>
    <t>WIA</t>
  </si>
  <si>
    <t>Welke organisatie die zich bezighoudt met werkomstandigheden, speelt</t>
  </si>
  <si>
    <t>ARBOdienst</t>
  </si>
  <si>
    <t>86.</t>
  </si>
  <si>
    <t>reisorganisatie is de tijd dat het vliegtuig er over doet om de</t>
  </si>
  <si>
    <t>reisbestemming te bereiken.</t>
  </si>
  <si>
    <t>87.</t>
  </si>
  <si>
    <t>88.</t>
  </si>
  <si>
    <t>touroperator betreft het aantal verkochte vliegtuigstoelen in een bepaald</t>
  </si>
  <si>
    <t>89.</t>
  </si>
  <si>
    <t>De training wordt verzorgd door Saxion hogeschool.</t>
  </si>
  <si>
    <t>De training zal bestaan uit gesprekstechnische oefeningen, klant-</t>
  </si>
  <si>
    <t>gemaakt van rollenspelen en demo-filmpjes.</t>
  </si>
  <si>
    <t>Doel ervan is vooral om de upsellingsvaardigheden van het personeel</t>
  </si>
  <si>
    <t>te vergroten, met als achterliggend doel: vergroting van omzet en winst.</t>
  </si>
  <si>
    <t>Doelgroep: de medewerkers van de Food and Beverage.</t>
  </si>
  <si>
    <t>Voor nieuw personeel zal de training verplicht zijn. De resultaten zullen</t>
  </si>
  <si>
    <t>worden meegewogen indien een vast dienstverband wordt overwogen.</t>
  </si>
  <si>
    <t>Wilt u de antwoorden weten? Zet dan hiernaast een kruisje (x):</t>
  </si>
  <si>
    <t>Nvt.</t>
  </si>
  <si>
    <t>Het werken met een beslissingsmatrix met weegfactoren is vrij handig.</t>
  </si>
  <si>
    <t>Hiernaast staat een voorbeeld. Experimenteer er maar eens mee door</t>
  </si>
  <si>
    <t>personeelsdoelen in te vullen.</t>
  </si>
  <si>
    <t>Weegfactor 1-10:</t>
  </si>
  <si>
    <t>t.a.v. doelgroepen</t>
  </si>
  <si>
    <t>vaardigheid</t>
  </si>
  <si>
    <t>Presentatie-</t>
  </si>
  <si>
    <t>vergroten</t>
  </si>
  <si>
    <t>Specialisatie</t>
  </si>
  <si>
    <t>Criteria ↓</t>
  </si>
  <si>
    <t>Pers. doelen →</t>
  </si>
  <si>
    <t>1. Kosten.</t>
  </si>
  <si>
    <t>2. Factor tijd.</t>
  </si>
  <si>
    <t>3. Klanttevredenh.</t>
  </si>
  <si>
    <t>4. Kwaliteitsniveau</t>
  </si>
  <si>
    <t>6. enz, enz….</t>
  </si>
  <si>
    <t>Specifieke</t>
  </si>
  <si>
    <t>diensten-kennis</t>
  </si>
  <si>
    <t>5. Motivatie pers.</t>
  </si>
  <si>
    <t>Hoe hoger de weegfactor (zwaarte, mate van belang van het criterium)</t>
  </si>
  <si>
    <t>effect heeft op de eindscores per personeelsdoel. Daaruit volgt welk</t>
  </si>
  <si>
    <t xml:space="preserve"> 'Tussendoortje', ter illustratie (geen punten te behalen uiteraard).</t>
  </si>
  <si>
    <t>Eindscores:</t>
  </si>
  <si>
    <t>n.v.t.</t>
  </si>
  <si>
    <t>N.v.t.</t>
  </si>
  <si>
    <t>personeelsdoel uiteindelijk het meest geschikt is (meeste punten). →</t>
  </si>
  <si>
    <t>Hoogste score:</t>
  </si>
  <si>
    <t>enz. → ….</t>
  </si>
  <si>
    <t>De ontbrekende factor (A) is erg belangrijk en hangt nauw samen</t>
  </si>
  <si>
    <t>met de bedrijfscultuur.</t>
  </si>
  <si>
    <t>Vraag: waarvoor staat die factor A?</t>
  </si>
  <si>
    <t>Vul hiernaast in waarvoor die 'A' staat:</t>
  </si>
  <si>
    <t>Een introductie-checklist.</t>
  </si>
  <si>
    <t>Een mentorsysteem.</t>
  </si>
  <si>
    <t>Ziekteverzuimbeleid.</t>
  </si>
  <si>
    <t>Een thuiswerkregeling.</t>
  </si>
  <si>
    <r>
      <t xml:space="preserve">verhouding tussen het bereikte (of beoogde) </t>
    </r>
    <r>
      <rPr>
        <b/>
        <sz val="10"/>
        <rFont val="Arial"/>
        <family val="2"/>
      </rPr>
      <t>R</t>
    </r>
    <r>
      <rPr>
        <sz val="10"/>
        <rFont val="Arial"/>
      </rPr>
      <t>esultaat en de</t>
    </r>
  </si>
  <si>
    <r>
      <t xml:space="preserve">daarvoor gebrachte (of de daardoor te verwachten) </t>
    </r>
    <r>
      <rPr>
        <b/>
        <sz val="10"/>
        <rFont val="Arial"/>
        <family val="2"/>
      </rPr>
      <t>O</t>
    </r>
    <r>
      <rPr>
        <sz val="10"/>
        <rFont val="Arial"/>
      </rPr>
      <t>ffers"</t>
    </r>
  </si>
  <si>
    <t>(P. Thuis, 1999). Uitgedrukt in formule: Pmax = Rmax / Omin,</t>
  </si>
  <si>
    <t>de minimale Offers.</t>
  </si>
  <si>
    <t xml:space="preserve">Op een recreatief landgoed stelt men in eigen beheer een </t>
  </si>
  <si>
    <t>bezoekerspakket samen (plastic toegangsticket + plattegrond +</t>
  </si>
  <si>
    <t>MDVS</t>
  </si>
  <si>
    <t>Personeelsdoelen</t>
  </si>
  <si>
    <t>HRM-samenhang</t>
  </si>
  <si>
    <t xml:space="preserve"> </t>
  </si>
  <si>
    <t>Vooraf-testvraag (alleen te beantwoorden als je beschikt over het boek</t>
  </si>
  <si>
    <t>Uw antwoord is:</t>
  </si>
  <si>
    <t>1.</t>
  </si>
  <si>
    <t>A.</t>
  </si>
  <si>
    <t>B.</t>
  </si>
  <si>
    <t>C.</t>
  </si>
  <si>
    <t>D.</t>
  </si>
  <si>
    <t>Personeelsmanagement.</t>
  </si>
  <si>
    <t>Talentenbeleid.</t>
  </si>
  <si>
    <t>Personeelsinstrumentarium.</t>
  </si>
  <si>
    <t>2.</t>
  </si>
  <si>
    <t>Wel geschikt:</t>
  </si>
  <si>
    <t>Niet geschikt:</t>
  </si>
  <si>
    <t xml:space="preserve">Individu </t>
  </si>
  <si>
    <t>Organisatie</t>
  </si>
  <si>
    <t>Identiteit</t>
  </si>
  <si>
    <t>Drijfveer</t>
  </si>
  <si>
    <t>Overtuiging</t>
  </si>
  <si>
    <t>Gedrag</t>
  </si>
  <si>
    <t>Missie</t>
  </si>
  <si>
    <t>Strategie</t>
  </si>
  <si>
    <t>HRM &amp; strategie</t>
  </si>
  <si>
    <t>Klik op de link:</t>
  </si>
  <si>
    <t>Doelen/sturing</t>
  </si>
  <si>
    <t>Systeem/processen</t>
  </si>
  <si>
    <t>Cultuur</t>
  </si>
  <si>
    <t>zijn</t>
  </si>
  <si>
    <t>willen</t>
  </si>
  <si>
    <t>moeten</t>
  </si>
  <si>
    <t>kunnen</t>
  </si>
  <si>
    <t>doen</t>
  </si>
  <si>
    <t>verbinden</t>
  </si>
  <si>
    <t>In het figuur hiernaast wordt de match uitgedrukt tussen de waarden van</t>
  </si>
  <si>
    <t>de organisatie enerzijds, en het individu anderzijds.</t>
  </si>
  <si>
    <t>Vraag:</t>
  </si>
  <si>
    <t>Welke term ontbreekt nog in het geel gearceerde vakje in de piramide</t>
  </si>
  <si>
    <t>3.</t>
  </si>
  <si>
    <t>Wilt u het juiste antwoord weten? Zet dan hiernaast een kruisje (x):</t>
  </si>
  <si>
    <t>4.</t>
  </si>
  <si>
    <t>Dat lijnmanagers bewust gemaakt moeten worden van het belang van HRM voor de organisatie en haar medewerkers.</t>
  </si>
  <si>
    <t>Dat het lijnmanagement de verantwoording voor het HRM-beleid van de organisatie moet overnemen van de HRM-afdeling c.q. afdeling personeelszaken.</t>
  </si>
  <si>
    <t>Plaats een kruisje (x) achter het juiste antwoord.</t>
  </si>
  <si>
    <t>5.</t>
  </si>
  <si>
    <t>Empowerment is een specifieke vorm van sturing van medewerkers, waarbij verantwoordelijkheden en bevoegdheden van het management gedelegeerd worden naar de teams, die hiermee zelfstandiger worden.</t>
  </si>
  <si>
    <t>Empowerment is een personeelsinstrument dat erop gericht is om de inspraak van medewerkers te vergroten.</t>
  </si>
  <si>
    <t>Doorewaard en De Nijs (1999) hanteren de volgende definitie van HRM:</t>
  </si>
  <si>
    <t>Wat wordt bedoeld met 'organische arbeidsstructuren'?</t>
  </si>
  <si>
    <t>werkgever in het kader van goed werkgeverschap.</t>
  </si>
  <si>
    <t>Bij functionele flexibiliteit gaat het erom de flexibele inzet van personeel alleen toe te</t>
  </si>
  <si>
    <t>passen wanneer de omgevingsfactoren dat vergen.</t>
  </si>
  <si>
    <t>ontwikkelingsplannen, loopbaanbevordering, motiverend beloningsbeleid, doelgroepenbeleid.</t>
  </si>
  <si>
    <t>De volgende aspecten zijn employability-aspecten: scholing, scholingsverlof, persoonlijke</t>
  </si>
  <si>
    <t>41.</t>
  </si>
  <si>
    <t>Werknemer</t>
  </si>
  <si>
    <t>Wie</t>
  </si>
  <si>
    <t>Wat</t>
  </si>
  <si>
    <t>Talentprofiel</t>
  </si>
  <si>
    <t>Competentieprofiel</t>
  </si>
  <si>
    <t>+</t>
  </si>
  <si>
    <t>In het midden (lichtgele vak) ontbreekt een wezenlijk begrip.</t>
  </si>
  <si>
    <t>Vul daar (afgekort) het bekende, ontbrekende begrip in.</t>
  </si>
  <si>
    <t>42.</t>
  </si>
  <si>
    <t>43.</t>
  </si>
  <si>
    <t>Kennis</t>
  </si>
  <si>
    <t>Interactieve vaardigheden</t>
  </si>
  <si>
    <t>Persoonlijke drive, initiatief, ondernemerschap</t>
  </si>
  <si>
    <t>leerbaarheid</t>
  </si>
  <si>
    <t>hoog</t>
  </si>
  <si>
    <t>laag</t>
  </si>
  <si>
    <t>Hiernaast staat de zogeheten 'leerbaarheidspiramide' van Sutherland</t>
  </si>
  <si>
    <t>Welk belangrijk begrip ontbreekt in het lichtgele vakje?</t>
  </si>
  <si>
    <t>44.</t>
  </si>
  <si>
    <t>competentiemanagement:</t>
  </si>
  <si>
    <t>van de …………, de ………………, de persoonlijkheidskenmerken en</t>
  </si>
  <si>
    <t>Berenschot heeft een definitie gegeven van het begrip</t>
  </si>
  <si>
    <t xml:space="preserve">Welke twee woorden ontbreken? Vul ze hiernaast in, in de </t>
  </si>
  <si>
    <t>lichtgele vakken.</t>
  </si>
  <si>
    <t>1e woord:</t>
  </si>
  <si>
    <t>2e woord:</t>
  </si>
  <si>
    <t>Aanbevelenswaardig ad stelling 2 ……….</t>
  </si>
  <si>
    <t>45.</t>
  </si>
  <si>
    <t>Wat kunnen we hieruit terecht opmaken?</t>
  </si>
  <si>
    <t>De interne factoren die van invloed zijn op het inzetten van het personeel, hebben meer gewicht dan de externe factoren.</t>
  </si>
  <si>
    <t>Stelling is JUIST</t>
  </si>
  <si>
    <t>F.</t>
  </si>
  <si>
    <t>Het adequaat inzetten van personeel is een interne aangelegenheid en staat zodoende niet in verband met externe omgevingsfactoren.</t>
  </si>
  <si>
    <t>G.</t>
  </si>
  <si>
    <t>Welke factor is dat? Vul hiernaast uw antwoord in.</t>
  </si>
  <si>
    <t>Essentieel is</t>
  </si>
  <si>
    <t>inzicht in de:</t>
  </si>
  <si>
    <t>Een vraag m.b.t. de arbeidsmarkt:</t>
  </si>
  <si>
    <t>aanbodzijde of de vraagzijde?</t>
  </si>
  <si>
    <t>Aanbodzijde</t>
  </si>
  <si>
    <t>Vraagzijde</t>
  </si>
  <si>
    <t>(bij juiste aankruising kleurt het vakje automatisch groen)</t>
  </si>
  <si>
    <t>Werkdruk …..</t>
  </si>
  <si>
    <t>DESTEMP-factor die van toepassing is.</t>
  </si>
  <si>
    <t>S</t>
  </si>
  <si>
    <t>M</t>
  </si>
  <si>
    <t>R</t>
  </si>
  <si>
    <t>T</t>
  </si>
  <si>
    <t>Attainable</t>
  </si>
  <si>
    <t>Telt niet mee:</t>
  </si>
  <si>
    <t>Plaats een kruisje (x) achter het juiste antwoord. Na invoering kleurt het vakje vanzelf groen (= JUIST) of rood (FOUT).</t>
  </si>
  <si>
    <t>tot productieplanning (en vervolgens personeelsplanning) te kunnen komen!</t>
  </si>
  <si>
    <t>schappen voor managers verwoord. Drie daarvan zijn: situaties moeten</t>
  </si>
  <si>
    <t>kunnen taxaren en beoordelen; de eigen leiderschapsstijl kunnen</t>
  </si>
  <si>
    <t>bewust zijn van eigen stijl</t>
  </si>
  <si>
    <t>Hoe wordt het mensbeeld (van McGregor) genoemd, waarbij sprake is</t>
  </si>
  <si>
    <t>enigszins autoritaire stijl van leidinggeven?</t>
  </si>
  <si>
    <t xml:space="preserve">E. </t>
  </si>
  <si>
    <t>X-stijl/mensbeeld</t>
  </si>
  <si>
    <t>Fiedler ontwikkelde een theorie omtrent situationeel leiderschap. Hij</t>
  </si>
  <si>
    <t>onderscheidde drie elementen die daarbij van groot belang zijn.</t>
  </si>
  <si>
    <t>Twee daarvan zijn: de mate waarin de relatie tussen de leidinggevende</t>
  </si>
  <si>
    <t xml:space="preserve">of ongestructureerd zijn. </t>
  </si>
  <si>
    <t xml:space="preserve">De ontbrekende derde heeft betrekking op de vraag of er sprake is </t>
  </si>
  <si>
    <t>van een sterke of juist zwakke ………… van de leidinggevende. Vul in:</t>
  </si>
  <si>
    <t>Machtspositie</t>
  </si>
  <si>
    <t>maken komt neer op enerzijds een persoonsgerichte leiderschaps-</t>
  </si>
  <si>
    <t>Persoonsgerichte</t>
  </si>
  <si>
    <t>van managers enerzijds en die van medewerkers anderzijds omtrent</t>
  </si>
  <si>
    <t>waar de managers goed of minder goed in zijn, sterk verschilt.</t>
  </si>
  <si>
    <t>coachen/ontwikkelen van medewerkers</t>
  </si>
  <si>
    <t>De mate waarin een medewerker bekwaam is om een bepaalde taak</t>
  </si>
  <si>
    <t>uit te voeren en de daarmee gepaard gaande verantwoordelijkheden</t>
  </si>
  <si>
    <t>te dragen, noemt men (volgens Hersey en Blanchard): ……. (vul in)</t>
  </si>
  <si>
    <t>Resultaatgerichtheid</t>
  </si>
  <si>
    <t>Taakvolwassenheid</t>
  </si>
  <si>
    <t>J.</t>
  </si>
  <si>
    <t>De theorie (van Evans en House) die de nadruk legt op welke</t>
  </si>
  <si>
    <t>verwachtingen medewerkers hebben van de beloning van hun werk en</t>
  </si>
  <si>
    <t>welke waarde (valentie) zij daaraan hechten heet: …… (vul in)</t>
  </si>
  <si>
    <t>Path-Goal theory</t>
  </si>
  <si>
    <t>K.</t>
  </si>
  <si>
    <t>persoonlijke uitstraling' benadrukt. Geef hiervoor een synoniem:</t>
  </si>
  <si>
    <t>Charisma</t>
  </si>
  <si>
    <t>L.</t>
  </si>
  <si>
    <t>Aanhangers van het zogeheten 'New Age denkkader' ontwikkelden een</t>
  </si>
  <si>
    <t xml:space="preserve">theorie over transformationeel leiderschap enerzijds, en anderzijds </t>
  </si>
  <si>
    <t>Transactioneel</t>
  </si>
  <si>
    <t>M.</t>
  </si>
  <si>
    <t>scheppen de leiders duidelijkheid voor de medewerkers omtrent wat</t>
  </si>
  <si>
    <t>N.</t>
  </si>
  <si>
    <t>NEE!</t>
  </si>
  <si>
    <t>zelfsturing</t>
  </si>
  <si>
    <t>O.</t>
  </si>
  <si>
    <t>Uit onderzoek van the Change Factory (2002) bleek dat de beleving</t>
  </si>
  <si>
    <t>de tegenpool daarvan, namelijk ………….. leiderschap (vul in)</t>
  </si>
  <si>
    <t>De mate waarin een medewerker zowel fysiek als psychisch in staat</t>
  </si>
  <si>
    <t>P.</t>
  </si>
  <si>
    <t>Werkvermogen</t>
  </si>
  <si>
    <t>Organisatiedoelen</t>
  </si>
  <si>
    <t>Inzet HRM-</t>
  </si>
  <si>
    <t>instrumenten</t>
  </si>
  <si>
    <t>&lt;balans&gt;</t>
  </si>
  <si>
    <t>Mens/personeel</t>
  </si>
  <si>
    <t>Mensgerichtheid</t>
  </si>
  <si>
    <t>Productgerichtheid</t>
  </si>
  <si>
    <t>enerzijds het personeel en anderzijds de organisatie, die balans (dus)</t>
  </si>
  <si>
    <t>ook tot uitdrukking moet komen in de stijl van leidinggeven.</t>
  </si>
  <si>
    <t>Geef in de lichtgele vakken de termen aan die betrekking hebben op</t>
  </si>
  <si>
    <t>Q.</t>
  </si>
  <si>
    <t>Gedragscomplexiteit</t>
  </si>
  <si>
    <t>daarbij wezenlijk geachte managemenvaardigheden. Ze staan deels</t>
  </si>
  <si>
    <t>Managementrol</t>
  </si>
  <si>
    <t>Mentorrol</t>
  </si>
  <si>
    <t>Inzicht in jezelf</t>
  </si>
  <si>
    <t>en anderen</t>
  </si>
  <si>
    <t>Effectief</t>
  </si>
  <si>
    <t>communiceren</t>
  </si>
  <si>
    <t>ondergeschikten</t>
  </si>
  <si>
    <t>Ontwikkeling van</t>
  </si>
  <si>
    <t>Teambuilding</t>
  </si>
  <si>
    <t>Participerende</t>
  </si>
  <si>
    <t>besluitvorming</t>
  </si>
  <si>
    <t>gebruiken</t>
  </si>
  <si>
    <t>Conflicten</t>
  </si>
  <si>
    <t>managen</t>
  </si>
  <si>
    <t>Stimulatorrol</t>
  </si>
  <si>
    <t>Controlerol</t>
  </si>
  <si>
    <t>Controleren van het</t>
  </si>
  <si>
    <t>eigen functioneren</t>
  </si>
  <si>
    <t>collectief</t>
  </si>
  <si>
    <t>functioneren</t>
  </si>
  <si>
    <t>functioneren van de</t>
  </si>
  <si>
    <t>Taken ontwerpen</t>
  </si>
  <si>
    <t>Crossfunctioneel</t>
  </si>
  <si>
    <t>management</t>
  </si>
  <si>
    <t>Eigen visie hebben,</t>
  </si>
  <si>
    <t>plannen en doelen</t>
  </si>
  <si>
    <t>stellen</t>
  </si>
  <si>
    <t>Ontwerpen en</t>
  </si>
  <si>
    <t>organiseren</t>
  </si>
  <si>
    <t>delegeren</t>
  </si>
  <si>
    <t>Productief werken</t>
  </si>
  <si>
    <t>personeel met een tijdelijk of vast dienstverband.</t>
  </si>
  <si>
    <t>Kengetallen omtrent overuren kunnen indicatief zijn voor</t>
  </si>
  <si>
    <t>ondercapaciteit van de productie.</t>
  </si>
  <si>
    <t>Met kengetallen omtrent leeftijdsopbouw kan men achterhalen wat de</t>
  </si>
  <si>
    <t>uitstroomratio naar functie is.</t>
  </si>
  <si>
    <t>per stelling het juiste antwoord (FOUT/JUIST) aan.</t>
  </si>
  <si>
    <r>
      <t xml:space="preserve">Hieronder staan diverse stellingen. </t>
    </r>
    <r>
      <rPr>
        <i/>
        <sz val="10"/>
        <rFont val="Arial"/>
        <family val="2"/>
      </rPr>
      <t>Kruis in de lichtgele vakjes steeds</t>
    </r>
  </si>
  <si>
    <t>Casusinfo: het bedrijf Goovert BV had afgelopen jaar een gemiddeld</t>
  </si>
  <si>
    <t>Hieronder staan enkele opdrachten die je met de casusinformatie moet</t>
  </si>
  <si>
    <t>8 medewerkers betrof?</t>
  </si>
  <si>
    <t>Uw antwoord,</t>
  </si>
  <si>
    <t xml:space="preserve">afgerond op </t>
  </si>
  <si>
    <t>1 decimaal:</t>
  </si>
  <si>
    <t>medewerkers in dienst waren?</t>
  </si>
  <si>
    <t>arbeidsongeschikt waren?</t>
  </si>
  <si>
    <t>personeelsbestand van 175 medewerkers. De totale loonkosten</t>
  </si>
  <si>
    <t>opleidingskosten gemaakt werden?</t>
  </si>
  <si>
    <t>Wat was het verlooppercentage als het verloop 10 medewerkers betrof?</t>
  </si>
  <si>
    <t>Wat was het instroompercentage als de instroom 4 medewerkers betrof?</t>
  </si>
  <si>
    <t>Wat was het ZiektVerzuimpercentage als het aantal zieke werknemers</t>
  </si>
  <si>
    <t>Wat was het arbeidsongeschiktheidspercentage als er 2 medewerkers</t>
  </si>
  <si>
    <t>Wat was het percentage vrouwelijke medewerkers als er 65 vrouwelijke</t>
  </si>
  <si>
    <t>Wat was de percentuele opleidingsinspanning als er 200.000 euro aan</t>
  </si>
  <si>
    <t>medewerkers die het toch al goed doen, in plaats van aan degenen</t>
  </si>
  <si>
    <t>die moeite hebben met hun taken en hulp nodig hebben.</t>
  </si>
  <si>
    <t>Hoe komt dat?</t>
  </si>
  <si>
    <t>Plaats hieronder een kruisje (x) achter het juiste antwoord.</t>
  </si>
  <si>
    <t>Zij beschikken niet over de vaardigheden om medewerkers te begeleiden die moeite hebben met hun taken en hulp nodig hebben.</t>
  </si>
  <si>
    <t>Zij hebben een hebben meestal niet door welke werknemers goed en welke werknemers zwak of slecht presteren.</t>
  </si>
  <si>
    <t>ZiekteVerzuim ….</t>
  </si>
  <si>
    <t>dienst.</t>
  </si>
  <si>
    <t>Human Capital Management</t>
  </si>
  <si>
    <t>klik HIER</t>
  </si>
  <si>
    <t>En ad stelling 1 …</t>
  </si>
  <si>
    <t>SMART</t>
  </si>
  <si>
    <r>
      <t xml:space="preserve">Gecompliceerdere, variant: </t>
    </r>
    <r>
      <rPr>
        <b/>
        <u/>
        <sz val="10"/>
        <color indexed="12"/>
        <rFont val="Arial"/>
        <family val="2"/>
      </rPr>
      <t>A</t>
    </r>
    <r>
      <rPr>
        <u/>
        <sz val="10"/>
        <color indexed="12"/>
        <rFont val="Arial"/>
      </rPr>
      <t xml:space="preserve">nalytic </t>
    </r>
    <r>
      <rPr>
        <b/>
        <u/>
        <sz val="10"/>
        <color indexed="12"/>
        <rFont val="Arial"/>
        <family val="2"/>
      </rPr>
      <t>H</t>
    </r>
    <r>
      <rPr>
        <u/>
        <sz val="10"/>
        <color indexed="12"/>
        <rFont val="Arial"/>
      </rPr>
      <t xml:space="preserve">ierarchy </t>
    </r>
    <r>
      <rPr>
        <b/>
        <u/>
        <sz val="10"/>
        <color indexed="12"/>
        <rFont val="Arial"/>
        <family val="2"/>
      </rPr>
      <t>P</t>
    </r>
    <r>
      <rPr>
        <u/>
        <sz val="10"/>
        <color indexed="12"/>
        <rFont val="Arial"/>
      </rPr>
      <t>rocess</t>
    </r>
  </si>
  <si>
    <t>An approach:</t>
  </si>
  <si>
    <t>Nauw met HRA verbonden:</t>
  </si>
  <si>
    <t>!</t>
  </si>
  <si>
    <t>HRM en KM……</t>
  </si>
  <si>
    <t>productiviteit</t>
  </si>
  <si>
    <t>en ouderen?</t>
  </si>
  <si>
    <t>Internetfilmpje over empowerment:</t>
  </si>
  <si>
    <t>What is HRM? Klik:</t>
  </si>
  <si>
    <t>Wilt u een PPT over competentiemanagement? Klik dan:</t>
  </si>
  <si>
    <t>Een zeer bekende managementformule luidt: E = K x A.</t>
  </si>
  <si>
    <t>Waarvoor staan die letters? Vul de antwoorden hiernaast in, in de</t>
  </si>
  <si>
    <t>=</t>
  </si>
  <si>
    <t>K</t>
  </si>
  <si>
    <t>effect</t>
  </si>
  <si>
    <t>acceptatie</t>
  </si>
  <si>
    <t>kwaliteit</t>
  </si>
  <si>
    <t>lichtgele vakjes. Bij een juist antwoord kleurt het vakje groen.</t>
  </si>
  <si>
    <t>(nieuwe) Personeelsdoelen invoeren en personeelsinstrumenten</t>
  </si>
  <si>
    <t>waarbij geldt dat daaromtrent afstemming met de organisatie dient</t>
  </si>
  <si>
    <t>Het gaat om:</t>
  </si>
  <si>
    <t>behoefte</t>
  </si>
  <si>
    <t>bereidheid</t>
  </si>
  <si>
    <t>vermogen</t>
  </si>
  <si>
    <t>Bij een juist antwoord krijgt u automatisch een groen gekleurd signaal.</t>
  </si>
  <si>
    <t>CHANGE……</t>
  </si>
  <si>
    <t>….. van het personeel.</t>
  </si>
  <si>
    <t>plaats te vinden: een zgn. ontwikkelbalans.</t>
  </si>
  <si>
    <t>komt tot uiting in de bedrijfscultuur. De waarden, normen en</t>
  </si>
  <si>
    <t>16.</t>
  </si>
  <si>
    <t>van de zogeheten managementtools?</t>
  </si>
  <si>
    <t>De throughput.</t>
  </si>
  <si>
    <t>Kwaliteitsmanagement methoden zoals bijv. "Six Sigma".</t>
  </si>
  <si>
    <t>Competentiemanagement.</t>
  </si>
  <si>
    <t>Welk van de hieronder staande items behoort NIET thuis in het rijtje</t>
  </si>
  <si>
    <t>17.</t>
  </si>
  <si>
    <t>Veel managementgoeroes benadrukken het belang van integratie van</t>
  </si>
  <si>
    <t>HRM in de strategische processen van de onderneming.</t>
  </si>
  <si>
    <t>Kruis hieronder aan welke verklaring daar nauw op aansluit.</t>
  </si>
  <si>
    <t>Het verklaart waarom het zo belangrijk is dat juist de lijnmanagers in de organisatie aan HRM doen in plaats van dat een aparte P&amp;O-afdeling vrijwel alles centraal doet.</t>
  </si>
  <si>
    <t>Het verklaart waarom het zo belangrijk is dat juist een aparte P&amp;O-afdeling wel alles op het gebied van HRM centraal doet, in plaats van dat juist de lijnmanagers in de organisatie aan HRM doen.</t>
  </si>
  <si>
    <t>Het verklaart waarom lijnmanagers vaak liever hebben dat een P&amp;O-afdeling het onderdeel HRM voor haar rekening neemt.</t>
  </si>
  <si>
    <t>Een productieve</t>
  </si>
  <si>
    <t>werkomgeving</t>
  </si>
  <si>
    <t>bevorderen</t>
  </si>
  <si>
    <t>Tijd- en stress-</t>
  </si>
  <si>
    <t>Bemiddelaar</t>
  </si>
  <si>
    <t>Een machtbasis</t>
  </si>
  <si>
    <t>opbouwen en</t>
  </si>
  <si>
    <t>handhaven</t>
  </si>
  <si>
    <t>Onderhandelen</t>
  </si>
  <si>
    <t>over inzet en</t>
  </si>
  <si>
    <t>overeenstemming</t>
  </si>
  <si>
    <t>presenteren</t>
  </si>
  <si>
    <t>Innovator</t>
  </si>
  <si>
    <t>Leven met</t>
  </si>
  <si>
    <t>verandering</t>
  </si>
  <si>
    <t>Management van</t>
  </si>
  <si>
    <t>veranderingen</t>
  </si>
  <si>
    <t>organisatie</t>
  </si>
  <si>
    <t>Projectmanagement</t>
  </si>
  <si>
    <t>Bestuurdersrol</t>
  </si>
  <si>
    <t>Producent</t>
  </si>
  <si>
    <t>Creatief denken</t>
  </si>
  <si>
    <t>of vaardigheden. Dat overzicht is hiernaast weergegeven.</t>
  </si>
  <si>
    <t>Bron:</t>
  </si>
  <si>
    <t>Studies Ohio State</t>
  </si>
  <si>
    <t>university</t>
  </si>
  <si>
    <t>Structuurinitiatie</t>
  </si>
  <si>
    <t>Consideratie</t>
  </si>
  <si>
    <t>Studie Michigan</t>
  </si>
  <si>
    <t>Productie-</t>
  </si>
  <si>
    <t>gerichtheid</t>
  </si>
  <si>
    <t>Werknemers-</t>
  </si>
  <si>
    <t>Diversen</t>
  </si>
  <si>
    <t>Autoritair</t>
  </si>
  <si>
    <t>Democratisch</t>
  </si>
  <si>
    <t>Participatief</t>
  </si>
  <si>
    <t>Fayol</t>
  </si>
  <si>
    <t>Prevoir</t>
  </si>
  <si>
    <t>(vooruitzien)</t>
  </si>
  <si>
    <t>Organiser</t>
  </si>
  <si>
    <t>(organiseren0</t>
  </si>
  <si>
    <t>Commander</t>
  </si>
  <si>
    <t>(commanderen</t>
  </si>
  <si>
    <t>Coordonner</t>
  </si>
  <si>
    <t>Controler</t>
  </si>
  <si>
    <t>McGregor</t>
  </si>
  <si>
    <t>Stijl 'X'</t>
  </si>
  <si>
    <t>Stijl 'Y'</t>
  </si>
  <si>
    <t>Mintzberg</t>
  </si>
  <si>
    <t>De uithuizige</t>
  </si>
  <si>
    <t>De vergaderaar</t>
  </si>
  <si>
    <t>De troubleshooter</t>
  </si>
  <si>
    <t>De teambuilder</t>
  </si>
  <si>
    <t>Linking</t>
  </si>
  <si>
    <t>Doing</t>
  </si>
  <si>
    <t>Blake en Mouton</t>
  </si>
  <si>
    <t>Impoverished</t>
  </si>
  <si>
    <t>(verschraald)</t>
  </si>
  <si>
    <t>Country club</t>
  </si>
  <si>
    <t>(gezelligheids-)</t>
  </si>
  <si>
    <t>Authority</t>
  </si>
  <si>
    <t>compliance</t>
  </si>
  <si>
    <t>(taak- of autoritair)</t>
  </si>
  <si>
    <t>(gulde middenweg)</t>
  </si>
  <si>
    <t>Teammanagement</t>
  </si>
  <si>
    <t>(teamgericht of</t>
  </si>
  <si>
    <t>democratisch)</t>
  </si>
  <si>
    <t>Reddin</t>
  </si>
  <si>
    <t>Relatiestijl</t>
  </si>
  <si>
    <t>Integratiestijl</t>
  </si>
  <si>
    <t>Afscheidingsstijl</t>
  </si>
  <si>
    <t>Toewijdingsstijl</t>
  </si>
  <si>
    <t>Hersey en</t>
  </si>
  <si>
    <t>Blanchard</t>
  </si>
  <si>
    <t>Overleggen</t>
  </si>
  <si>
    <t>Overtuigen</t>
  </si>
  <si>
    <t>Delegeren</t>
  </si>
  <si>
    <t>Instrueren</t>
  </si>
  <si>
    <t>Fiedler</t>
  </si>
  <si>
    <t>Persoonsgericht</t>
  </si>
  <si>
    <t>Taakgericht</t>
  </si>
  <si>
    <t>Van autoritair tot</t>
  </si>
  <si>
    <t>zeer participatief</t>
  </si>
  <si>
    <t>Management by'-</t>
  </si>
  <si>
    <t>stijlen</t>
  </si>
  <si>
    <t>Management By</t>
  </si>
  <si>
    <t>Objectives</t>
  </si>
  <si>
    <t>Exception</t>
  </si>
  <si>
    <t>Walking Around</t>
  </si>
  <si>
    <t>Delegation</t>
  </si>
  <si>
    <t>Direction&amp;Control</t>
  </si>
  <si>
    <t>New Age-denk</t>
  </si>
  <si>
    <t>kader</t>
  </si>
  <si>
    <t>(transformationeel</t>
  </si>
  <si>
    <t>leiderschap)</t>
  </si>
  <si>
    <t>Pionier</t>
  </si>
  <si>
    <t>Veldheer</t>
  </si>
  <si>
    <t>Evenwichtige</t>
  </si>
  <si>
    <t>volhouder</t>
  </si>
  <si>
    <t>Zuinige zetbaas</t>
  </si>
  <si>
    <t>Beheerder</t>
  </si>
  <si>
    <t>Bass (en Boyd)</t>
  </si>
  <si>
    <t>leiderschap</t>
  </si>
  <si>
    <t>Transformationeel</t>
  </si>
  <si>
    <t>Zelfleiderschap</t>
  </si>
  <si>
    <t>Managerspecialist</t>
  </si>
  <si>
    <t>Nog erbij:Diplomaat</t>
  </si>
  <si>
    <t>Leading</t>
  </si>
  <si>
    <t>In volgorde:</t>
  </si>
  <si>
    <t>Positieve zone:</t>
  </si>
  <si>
    <t>Mentor</t>
  </si>
  <si>
    <t>Teerhartig</t>
  </si>
  <si>
    <t>medelevend</t>
  </si>
  <si>
    <t>toegeeflijk</t>
  </si>
  <si>
    <t>Stimulator</t>
  </si>
  <si>
    <t>Procesgericht</t>
  </si>
  <si>
    <t>Controleur</t>
  </si>
  <si>
    <t>Technisch expert</t>
  </si>
  <si>
    <t>Creatief, slim</t>
  </si>
  <si>
    <t>politiek handig</t>
  </si>
  <si>
    <t>Opportunistisch</t>
  </si>
  <si>
    <t>prestaties,</t>
  </si>
  <si>
    <t>individualistisch</t>
  </si>
  <si>
    <t>Bestuurder</t>
  </si>
  <si>
    <t>Doortastend</t>
  </si>
  <si>
    <t>Onontvankelijk</t>
  </si>
  <si>
    <t>gevoelloos</t>
  </si>
  <si>
    <t>Betrouwbaar</t>
  </si>
  <si>
    <t>Sceptisch</t>
  </si>
  <si>
    <t>cynisch</t>
  </si>
  <si>
    <t>middelen</t>
  </si>
  <si>
    <t>Gericht op</t>
  </si>
  <si>
    <t>Fantasieloos, saai</t>
  </si>
  <si>
    <t>te schieten. Voorbeeld: een leidinggevende die vanuit de mentorrol</t>
  </si>
  <si>
    <t xml:space="preserve">doorschiet in zorgzaam en medelevend zijn, loopt het </t>
  </si>
  <si>
    <t>risico te teerhartig en/of toegeeflijk te worden.</t>
  </si>
  <si>
    <t>toepassing is.</t>
  </si>
  <si>
    <t>Negatieve zones.</t>
  </si>
  <si>
    <t>ROL:</t>
  </si>
  <si>
    <t>Onrealistisch of onpraktisch</t>
  </si>
  <si>
    <t>Kernkwaliteit</t>
  </si>
  <si>
    <t>te veel van</t>
  </si>
  <si>
    <t>het goede</t>
  </si>
  <si>
    <t>Valkuil</t>
  </si>
  <si>
    <t>Uitdaging</t>
  </si>
  <si>
    <t>Hiernaast staat het Kernkwaliteitendiagram van Ofman (1994) afgebeeld.</t>
  </si>
  <si>
    <t>Welk begrip hoort er te staan in het lichtgele vakje linksonder?</t>
  </si>
  <si>
    <t>Allergie</t>
  </si>
  <si>
    <t>geintje</t>
  </si>
  <si>
    <t>NOOT:</t>
  </si>
  <si>
    <t>zeer regelmatig aan verandering onderhevig zijn, wordt hoofdstuk 6 over</t>
  </si>
  <si>
    <t>arbeidsrechtelijke gevolgen hier maar beperkt aangehaald.</t>
  </si>
  <si>
    <t>verwachten valt dat ze voor relatief langere duur van toepassing zijn,</t>
  </si>
  <si>
    <t>verbonden met, arbeidsrecht (en soms ook sociale zekerheid).</t>
  </si>
  <si>
    <t>Enkele relevante begrippen uitgelicht (kruis het juiste antwoord aan):</t>
  </si>
  <si>
    <t>De WOR regelt de werkomstandigheden op het werk.</t>
  </si>
  <si>
    <t>De IAO betreft de collectieve arbeidsvoorwaarden.</t>
  </si>
  <si>
    <t>De ARBO-wet staat voor ARBeidsOmstandigheden-wet.</t>
  </si>
  <si>
    <t>Arbeidsrecht is o.a. geregeld in het Burgerlijk Wetboek.</t>
  </si>
  <si>
    <t>Een aanstellingsbrief hoort men alleen op verzoek te krijgen.</t>
  </si>
  <si>
    <t>Een aanstellingsbrief heeft rechtsgeldigheid.</t>
  </si>
  <si>
    <t>Mondelinge overeengekomen arbeidsovereenkomsten zijn</t>
  </si>
  <si>
    <t>niet rechtsgeldig.</t>
  </si>
  <si>
    <t>Er bestaan verschillende soorten dienstbetrekkingen.</t>
  </si>
  <si>
    <t>De overeenkomst tot het verichten van enkele diensten, noemt men</t>
  </si>
  <si>
    <t>de overeenkomst tot aanneming van werk.</t>
  </si>
  <si>
    <t>Er bestaat geen juridisch verschil tussen de ('gewone') arbeidsover-</t>
  </si>
  <si>
    <t>eenkomst en de overeenkomst tot het verrichten van enkele diensten.</t>
  </si>
  <si>
    <t>toepassing.</t>
  </si>
  <si>
    <t>Bij een arbeidsovereenkomst voor bepaalde tijd geldt geen</t>
  </si>
  <si>
    <t>opzeggingstermijn.</t>
  </si>
  <si>
    <t>Een arbeidsovereenkomst voor bepaalde tijd eindigt van rechtswege.</t>
  </si>
  <si>
    <t>melden bij de (het Werkbedrijf van) UWV.</t>
  </si>
  <si>
    <t>Bij een arbeidsovereenkomst hangt het van de werksector af of de</t>
  </si>
  <si>
    <t>bij arbeidsovereenkomsten voor bepaalde tijd.</t>
  </si>
  <si>
    <t>De Wet Flexibiliteit en Zekerheid geldt alleen voor uitzendkrachten.</t>
  </si>
  <si>
    <t>Personen met een Min-Max-contract vallen onder 'oproepkrachten'.</t>
  </si>
  <si>
    <t>Personen met een 0-urencontract vallen onder 'oproepkrachten'.</t>
  </si>
  <si>
    <t>Gedetacheerden vallen NIET onder de de Flexwet.</t>
  </si>
  <si>
    <t>In sommige gevallen is het door de Flexwet mogelijk dat iemand met</t>
  </si>
  <si>
    <t>een tijdelijke arbeidsovereenkomst toch recht heeft op een</t>
  </si>
  <si>
    <t>arbeidsovereenkomst voor onbepaalde tijd.</t>
  </si>
  <si>
    <t>Schriftelijk overeengekomen arbeidsovereenkomsten in geval van</t>
  </si>
  <si>
    <t>flexwerk kunnen tussentijds niet worden opgezegd.</t>
  </si>
  <si>
    <t>loopt de opdrachtgever het risico hem een arbeidsovereenkomst voor</t>
  </si>
  <si>
    <t>onbepaalde tijd te moeten geven.</t>
  </si>
  <si>
    <t>Een VAR-verklaring staat voor: Verklaring ArbeidsRegeling.</t>
  </si>
  <si>
    <t>De belastingdienst is verstrekker van VAR-verklaringen.</t>
  </si>
  <si>
    <t>De afkorting 'Waadi' staat voor Wet allocatie arbeidskrachten</t>
  </si>
  <si>
    <t>door intermediairs.</t>
  </si>
  <si>
    <t>arbeidsovereenkomst krijgt, is hij automatisch in vaste dienst.</t>
  </si>
  <si>
    <t>mogelijk zonder (automatisch) uit te monden in een vast dienstverband.</t>
  </si>
  <si>
    <t>Het begrip 'jurisprudentie' staat voor: correspondentie over</t>
  </si>
  <si>
    <t>juridische aangelegenheden.</t>
  </si>
  <si>
    <t>langer dan 36 maanden, en hij meteen daarna nog een tijdelijke</t>
  </si>
  <si>
    <t>Als een IAO voor een medewerker gunstigere bepalingen bevat dan de</t>
  </si>
  <si>
    <t>Algemeen Verbindend Verklaring.</t>
  </si>
  <si>
    <t>termijn is afgelopen, de arbeidsvoorwaarden toch blijven gelden als er</t>
  </si>
  <si>
    <t>Bovenstaande (zie vraag i) geldt NIET wanneer een werkgever zijn</t>
  </si>
  <si>
    <t>lidmaatschap van een werkgeversorganisatie tussentijds opzegt.</t>
  </si>
  <si>
    <t>zogeheten VAD.</t>
  </si>
  <si>
    <t>De afkorting VAD staat voor Verordening Algemene Detailhandel.</t>
  </si>
  <si>
    <t>Voorbeelden van primaire arbeidsvoorwaarden zijn:</t>
  </si>
  <si>
    <t>Regeling omtrent geneeskundig en psychologisch onderzoek.</t>
  </si>
  <si>
    <t>Pensioenregelingen</t>
  </si>
  <si>
    <t>Afvloeiingsregelingen</t>
  </si>
  <si>
    <t>Verhuiskosten</t>
  </si>
  <si>
    <t>Arbeidsduur</t>
  </si>
  <si>
    <t>Voorgeschreven bedrijfskleding</t>
  </si>
  <si>
    <t>Buitengewoon verlof</t>
  </si>
  <si>
    <t>Toeslagen op onaangenaam werk</t>
  </si>
  <si>
    <t>Werktijdenregelingen</t>
  </si>
  <si>
    <t>Functionerings- en beoordelingsgesprekken</t>
  </si>
  <si>
    <t>Loopbaanbeleid</t>
  </si>
  <si>
    <t>Overwerkregelingen</t>
  </si>
  <si>
    <t>Vakantiedagen</t>
  </si>
  <si>
    <t>Regelingen omtrent geheimhoudingsplicht</t>
  </si>
  <si>
    <t>Vakbondsfaciliteiten</t>
  </si>
  <si>
    <t>Concurrentiebeding</t>
  </si>
  <si>
    <t>FOUT, secundair</t>
  </si>
  <si>
    <t>Gratificaties bij jubilea</t>
  </si>
  <si>
    <t>FOUT, tertiair</t>
  </si>
  <si>
    <t>Personeelsfondsen</t>
  </si>
  <si>
    <t>R.</t>
  </si>
  <si>
    <t>S.</t>
  </si>
  <si>
    <t>T.</t>
  </si>
  <si>
    <t>U.</t>
  </si>
  <si>
    <t>(hiervoor is per vraag niet 1, maar slechts 0,5 punt te behalen)</t>
  </si>
  <si>
    <t xml:space="preserve">  </t>
  </si>
  <si>
    <t>maar maken deel uit van het besturingsproces (planning &amp; control),</t>
  </si>
  <si>
    <t>zijn op het gebied van HRM. Niet alle voorbeelden zijn echter juist.</t>
  </si>
  <si>
    <t>Wisselwerking met omgeving</t>
  </si>
  <si>
    <t>INPUT</t>
  </si>
  <si>
    <t>THROUGHPUT</t>
  </si>
  <si>
    <t>OUTPUT</t>
  </si>
  <si>
    <t>arbeidskracht</t>
  </si>
  <si>
    <t>energie</t>
  </si>
  <si>
    <t>materie</t>
  </si>
  <si>
    <t>bewerking van</t>
  </si>
  <si>
    <t>de input.</t>
  </si>
  <si>
    <t>diensten,</t>
  </si>
  <si>
    <t>HRM</t>
  </si>
  <si>
    <t>Hiernaast ziet u de organisatie afgebeeld als een systeem,</t>
  </si>
  <si>
    <t>onderverdeeld naar input, throughput en output.</t>
  </si>
  <si>
    <t>Vul in elk geel vakje de juiste HRM-term in.</t>
  </si>
  <si>
    <t>instroom</t>
  </si>
  <si>
    <t>doorstroom</t>
  </si>
  <si>
    <t>uitstroom</t>
  </si>
  <si>
    <t>om een flexibel, open systeem te zijn.</t>
  </si>
  <si>
    <t>Dat komt omdat een organisatie veelal een continu spanningsveld is</t>
  </si>
  <si>
    <t>in de daarvoor bedoelde gele, lege vakjes.</t>
  </si>
  <si>
    <r>
      <t xml:space="preserve">tegenovergestelde uiterste. </t>
    </r>
    <r>
      <rPr>
        <i/>
        <sz val="10"/>
        <rFont val="Arial"/>
        <family val="2"/>
      </rPr>
      <t>Vul die tegenovergestelde in,</t>
    </r>
  </si>
  <si>
    <t>tussen twee uitersten (Mastenbroek 1997).</t>
  </si>
  <si>
    <t>sturing geven</t>
  </si>
  <si>
    <t>centraliseren</t>
  </si>
  <si>
    <t>autonomie</t>
  </si>
  <si>
    <t>zelf doen</t>
  </si>
  <si>
    <t>enerzijds</t>
  </si>
  <si>
    <t>anderzijds</t>
  </si>
  <si>
    <t>zelfregulatie</t>
  </si>
  <si>
    <t>decentraliseren</t>
  </si>
  <si>
    <t>interdependentie</t>
  </si>
  <si>
    <t>uitbesteden</t>
  </si>
  <si>
    <t>Personeels-instrumenten</t>
  </si>
  <si>
    <t>De denker van Rodin</t>
  </si>
  <si>
    <t>Door een DESTEMP-factor (factor S) heeft de uitvaartondernemer</t>
  </si>
  <si>
    <t>Dat werkt door naar de factor HRM.</t>
  </si>
  <si>
    <t>het vakje niet altijd groen kleuren, al is uw antwoord misschien toch</t>
  </si>
  <si>
    <t>Enkele antwoordmogelijkheden? Zet dan hiernaast een kruisje (x):</t>
  </si>
  <si>
    <t>aanpassing van: arbeidsvoorwaarden, beloning, werktijden, IAO, personeelsplanning, enz.</t>
  </si>
  <si>
    <t>symbolen</t>
  </si>
  <si>
    <t>verhalen en helden</t>
  </si>
  <si>
    <t>normen</t>
  </si>
  <si>
    <t>waarden en grondbeginselen</t>
  </si>
  <si>
    <t>De bedrijfscultuur van een organisatie is vaak van grote invloed</t>
  </si>
  <si>
    <t>90.</t>
  </si>
  <si>
    <t>Welke van onderstaande gezondheidsklachten gaat over het algemeen</t>
  </si>
  <si>
    <t>Griep of verkoudheid</t>
  </si>
  <si>
    <t>gepaard met de langste verzuimduur? (kruis het juiste antwoord aan)</t>
  </si>
  <si>
    <t>Rugklachten</t>
  </si>
  <si>
    <t>Psychische klanten, overspannenheid</t>
  </si>
  <si>
    <t>Klachten betreffende hart- en vaatstelsel</t>
  </si>
  <si>
    <t>Klachten i.v.m. zwangerschap</t>
  </si>
  <si>
    <t>nummer 1!</t>
  </si>
  <si>
    <t>nummer 3</t>
  </si>
  <si>
    <t>nummer 4</t>
  </si>
  <si>
    <t>nummer 5</t>
  </si>
  <si>
    <t>nummer 2</t>
  </si>
  <si>
    <t>91.</t>
  </si>
  <si>
    <t>Welke van onderstaande HRM-instrumenten is volgens onderzoek van Kluytmans (2008)</t>
  </si>
  <si>
    <t>Training en ontwikkeling</t>
  </si>
  <si>
    <t>Hoge lonen</t>
  </si>
  <si>
    <t>Beoordeling, evaluatie, monitoring en performancemanagement</t>
  </si>
  <si>
    <t>Taakanalyse</t>
  </si>
  <si>
    <t>92.</t>
  </si>
  <si>
    <t>De meest voorkomende redenen voor ontslag zijn:</t>
  </si>
  <si>
    <t>A. Bedrijfseconomische of organisatorische redenen;</t>
  </si>
  <si>
    <t>B. Redenen gelegen in de persoon of persoonlijke omstandigheden.</t>
  </si>
  <si>
    <t>C. …………..? Vul hiernaast uw antwoord in.</t>
  </si>
  <si>
    <t>Duurzaam verstoorde arbeidsverhoudingen</t>
  </si>
  <si>
    <t>93.</t>
  </si>
  <si>
    <t>werkgever een zogeheten ……(vul in)</t>
  </si>
  <si>
    <t>….. opbouwt.</t>
  </si>
  <si>
    <t>ontslagdossier</t>
  </si>
  <si>
    <t>94.</t>
  </si>
  <si>
    <t>betrokkenen</t>
  </si>
  <si>
    <t>Training on</t>
  </si>
  <si>
    <t>the job</t>
  </si>
  <si>
    <t>Verlies aan</t>
  </si>
  <si>
    <t>Kosten van</t>
  </si>
  <si>
    <t>vacante positie</t>
  </si>
  <si>
    <t>Vertrekregeling</t>
  </si>
  <si>
    <t>Aanstellings-</t>
  </si>
  <si>
    <t>kosten</t>
  </si>
  <si>
    <t>Acquisitiekosten</t>
  </si>
  <si>
    <t>Inwerkkosten</t>
  </si>
  <si>
    <t>Totale kosten van vervanging</t>
  </si>
  <si>
    <t>Begeleidingstijd</t>
  </si>
  <si>
    <t>In het lichtgele vakje ontbreekt een bepaald soort kosten.</t>
  </si>
  <si>
    <t>Om welke kosten gaat het? Vul uw antwoord daar in.</t>
  </si>
  <si>
    <t>Hiernaast staat een overzicht van kwantificering van verloop van</t>
  </si>
  <si>
    <t>Afscheidskosten</t>
  </si>
  <si>
    <t>Activity Based Costing (zie leerboek, eind hoofdstuk 4).</t>
  </si>
  <si>
    <t>95.</t>
  </si>
  <si>
    <t>96.</t>
  </si>
  <si>
    <t>Wat denkt u? Wint de werknemer de zaak? (kruis uw antwoord aan)</t>
  </si>
  <si>
    <r>
      <t>Ja</t>
    </r>
    <r>
      <rPr>
        <sz val="10"/>
        <rFont val="Arial"/>
      </rPr>
      <t>, de werknemer wint  de zaak:</t>
    </r>
  </si>
  <si>
    <r>
      <t>Nee</t>
    </r>
    <r>
      <rPr>
        <sz val="10"/>
        <rFont val="Arial"/>
      </rPr>
      <t>, de werknemer verliest de zaak:</t>
    </r>
  </si>
  <si>
    <t>Naderhand legt hij bij de kantonrechter de situatie voor en vraagt hij</t>
  </si>
  <si>
    <t>nietigverklaring van zijn ontslag op staande voet.</t>
  </si>
  <si>
    <t>Hij wint de zaak!!!!</t>
  </si>
  <si>
    <t>97.</t>
  </si>
  <si>
    <t>1 werknemer</t>
  </si>
  <si>
    <t>10 werknemers</t>
  </si>
  <si>
    <t>20 werknemers</t>
  </si>
  <si>
    <t>Kruis het juiste antwoord aan.</t>
  </si>
  <si>
    <t>50 werknemers</t>
  </si>
  <si>
    <t>100 werknemers</t>
  </si>
  <si>
    <t>200 werknemers</t>
  </si>
  <si>
    <t>De WMCO geldt wanneer ontslag wordt aangevraagd vanaf:</t>
  </si>
  <si>
    <t>98.</t>
  </si>
  <si>
    <t>99.</t>
  </si>
  <si>
    <t>Zoals reeds eerder vermeld, verandert de wet- en regelgeving op het gebied van arbeid en sociale zekerheid zeer regelmatig.</t>
  </si>
  <si>
    <t>De hier en in het leerboek daarover opgenomen informatie en vragen zijn dus altijd 'onder voorbehoud'.</t>
  </si>
  <si>
    <t>100.</t>
  </si>
  <si>
    <t>Geef de afkorting van de regeling betreffende het eerder met pensioen</t>
  </si>
  <si>
    <t>kunnen dan de pensioengerechtigde leeftijd:</t>
  </si>
  <si>
    <t>VUT-regeling</t>
  </si>
  <si>
    <t>Hoe noemt men het gesprek dat met een vertrekkende medewerker</t>
  </si>
  <si>
    <t>wordt gehouden, om na te gaan welke factoren geleid hebben tot</t>
  </si>
  <si>
    <t>de ontslagname van de werknemer?</t>
  </si>
  <si>
    <t>Exitgesprek</t>
  </si>
  <si>
    <t>Blijfpremie</t>
  </si>
  <si>
    <t>Exitinterview</t>
  </si>
  <si>
    <r>
      <t xml:space="preserve">Alleen </t>
    </r>
    <r>
      <rPr>
        <b/>
        <sz val="10"/>
        <rFont val="Arial"/>
        <family val="2"/>
      </rPr>
      <t>stelling 2</t>
    </r>
    <r>
      <rPr>
        <sz val="10"/>
        <rFont val="Arial"/>
      </rPr>
      <t xml:space="preserve"> is</t>
    </r>
    <r>
      <rPr>
        <b/>
        <sz val="10"/>
        <rFont val="Arial"/>
        <family val="2"/>
      </rPr>
      <t xml:space="preserve"> juist</t>
    </r>
  </si>
  <si>
    <t>Welke tool uit de onderstaande opsomming behoort daartoe?</t>
  </si>
  <si>
    <t>Demografisch</t>
  </si>
  <si>
    <t>Economisch</t>
  </si>
  <si>
    <t>Sociaal-maatsch.</t>
  </si>
  <si>
    <t>Technologisch</t>
  </si>
  <si>
    <t>Ecologisch</t>
  </si>
  <si>
    <t>Markt</t>
  </si>
  <si>
    <t>Politiek</t>
  </si>
  <si>
    <t>10.</t>
  </si>
  <si>
    <t>A. In Nederland wordt overwogen om de pensioengerechtigde</t>
  </si>
  <si>
    <t>leeftijd te verhogen.</t>
  </si>
  <si>
    <t>B. Dat komt omdat ons pensioenbestel anders onbetaalbaar wordt.</t>
  </si>
  <si>
    <t>D. Dat werkt tevens door naar de balans tussen werkenden en</t>
  </si>
  <si>
    <t>niet-werkenden.</t>
  </si>
  <si>
    <t>Bovenstaande problematiek heeft vele raakvlakken met de</t>
  </si>
  <si>
    <t>DESTEMP-factoren. Het ligt er ook maar aan vanuit welke invalshoek</t>
  </si>
  <si>
    <t>voor de ouderen die genieten van hun pensioen.</t>
  </si>
  <si>
    <t>Hier beperken we ons tot vijf factoren: A, B, C, D en E.</t>
  </si>
  <si>
    <t>ANTW:</t>
  </si>
  <si>
    <t>E. Het vergt dus in feite solidariteit van de jongeren om te werken</t>
  </si>
  <si>
    <t>Oplossing zien?</t>
  </si>
  <si>
    <t>vul hiernaast 'x' in:</t>
  </si>
  <si>
    <t>11.</t>
  </si>
  <si>
    <t>Beleid</t>
  </si>
  <si>
    <t>Activiteiten</t>
  </si>
  <si>
    <t>Evaluatie</t>
  </si>
  <si>
    <t>(input)</t>
  </si>
  <si>
    <t>(throughput)</t>
  </si>
  <si>
    <t>(output)</t>
  </si>
  <si>
    <t>(controle)</t>
  </si>
  <si>
    <t>(bijstelling)</t>
  </si>
  <si>
    <t>Planning</t>
  </si>
  <si>
    <r>
      <t>M</t>
    </r>
    <r>
      <rPr>
        <b/>
        <u/>
        <sz val="10"/>
        <rFont val="Arial"/>
        <family val="2"/>
      </rPr>
      <t>D</t>
    </r>
    <r>
      <rPr>
        <b/>
        <sz val="10"/>
        <rFont val="Arial"/>
        <family val="2"/>
      </rPr>
      <t>VS</t>
    </r>
  </si>
  <si>
    <t>In het leerboek wordt dit model met een mooi woord genoemd:</t>
  </si>
  <si>
    <t>Kijk naar het (ook voor HRM relevante) managementmodel hiernaast.</t>
  </si>
  <si>
    <t>12.</t>
  </si>
  <si>
    <t xml:space="preserve">Onderstaande afbeelding betreft tabel 3.8 uit het leerboek. </t>
  </si>
  <si>
    <t>Kruis in de lichtgele vakken aan welke kengetal-verschillen wijzen op</t>
  </si>
  <si>
    <t>een behoorlijk probleem bij het UWV. (3 punten te behalen)</t>
  </si>
  <si>
    <t>Vaste kosten:</t>
  </si>
  <si>
    <t>Verzekeringen.</t>
  </si>
  <si>
    <t>Variabele kosten:</t>
  </si>
  <si>
    <t>Gemiste omzet.</t>
  </si>
  <si>
    <t>Doorbetaalde loonkosten.</t>
  </si>
  <si>
    <t>Doorbetaalde huisvestingskosten.</t>
  </si>
  <si>
    <t>Verzuimbegeleiding.</t>
  </si>
  <si>
    <t>Kosten van bedrijfsongevallen.</t>
  </si>
  <si>
    <t>Verzuimpreventie</t>
  </si>
  <si>
    <t>Vervangingskosten</t>
  </si>
  <si>
    <t>Contract ARBO-</t>
  </si>
  <si>
    <t>Extra premies</t>
  </si>
  <si>
    <t>Middel hoog:</t>
  </si>
  <si>
    <t>Hoog:</t>
  </si>
  <si>
    <t>Middel laag:</t>
  </si>
  <si>
    <t>Laag:</t>
  </si>
  <si>
    <t>Impact op te</t>
  </si>
  <si>
    <t>Mate / waarschijnlijkheid waarin er sprake is van dat het risico zich voordoet.</t>
  </si>
  <si>
    <t>behalen doelen.</t>
  </si>
  <si>
    <t>Kijk terug naar de vorige opdracht/vraag (22).</t>
  </si>
  <si>
    <t>onderstaande link:</t>
  </si>
  <si>
    <t>HIER</t>
  </si>
  <si>
    <t>Wilt u wat</t>
  </si>
  <si>
    <t>illustratiefs m.b.t.</t>
  </si>
  <si>
    <t>Foutensoorten (gerangschikt)</t>
  </si>
  <si>
    <t>Aantal</t>
  </si>
  <si>
    <t>Procent</t>
  </si>
  <si>
    <t>Cumulatief</t>
  </si>
  <si>
    <t>Bezig met andere klus (balie)</t>
  </si>
  <si>
    <t>Geen baliepersoneel aanwezig</t>
  </si>
  <si>
    <t>Technische problemen centrale</t>
  </si>
  <si>
    <t>Verkeerd intern doorverbonden</t>
  </si>
  <si>
    <t>Telefoon niet goed opgelegd</t>
  </si>
  <si>
    <t>Beller fout verbonden</t>
  </si>
  <si>
    <t>Voortijdig afbreken door beller</t>
  </si>
  <si>
    <t>Het cybernetisch model van vraag 11 is ook op HRM van toepassing.</t>
  </si>
  <si>
    <t>van informatieverstrekker.</t>
  </si>
  <si>
    <t>In de voorbereidingsfase van werving en selectie heeft de lijnmanager vooral de rol</t>
  </si>
  <si>
    <t>observeren tijdens de uitoefening van hun functie.</t>
  </si>
  <si>
    <t>van een bepaalde functie.</t>
  </si>
  <si>
    <t>een functie te kunnen bepalen.</t>
  </si>
  <si>
    <t>Leeftijd is een voorbeeld van een persoonscriteria, als zijnde een onderdeel van</t>
  </si>
  <si>
    <t>Hiernaast staat het zogeheten 'stoplichtmodel' van gemeenten</t>
  </si>
  <si>
    <t>Introductie</t>
  </si>
  <si>
    <t>Personeelsplanning</t>
  </si>
  <si>
    <t>Werving&amp;selectie</t>
  </si>
  <si>
    <t>Functioneren en beoordelen</t>
  </si>
  <si>
    <t>Opleiding, Vorming en Training</t>
  </si>
  <si>
    <t>Loopbaanontwikkeling</t>
  </si>
  <si>
    <t>van personeelsinstrumenten; een soort 'paraplu' waaronder weer</t>
  </si>
  <si>
    <t>diverse specialistischer personeelsinstrumenten vallen.</t>
  </si>
  <si>
    <t>Een ander model om het HRM-terrein in te delen is aan de hand</t>
  </si>
  <si>
    <t>worden in de lichtgele vakken.</t>
  </si>
  <si>
    <t>Arbeidsinhoud</t>
  </si>
  <si>
    <t>Arbeidsomstandigheden</t>
  </si>
  <si>
    <t>1. De A van:</t>
  </si>
  <si>
    <t>2. De A van:</t>
  </si>
  <si>
    <t>3. De A van:</t>
  </si>
  <si>
    <t>4. De A van:</t>
  </si>
  <si>
    <t>Kijk nogmaals naar vraag 10 hierboven. Er zou eigenlijk heel goed nog</t>
  </si>
  <si>
    <t>die in toenemende mate voor HRM van belang is geworden.</t>
  </si>
  <si>
    <t>Welke factor is dat?</t>
  </si>
  <si>
    <t>5. De A van:</t>
  </si>
  <si>
    <t>Huidig personeelsbestand</t>
  </si>
  <si>
    <t>Ontwikkelingen</t>
  </si>
  <si>
    <t>Intern</t>
  </si>
  <si>
    <t>Extern</t>
  </si>
  <si>
    <t>Te verwachten</t>
  </si>
  <si>
    <t>productie/dienstv.</t>
  </si>
  <si>
    <t>Verschillen?</t>
  </si>
  <si>
    <t>Afstemmen</t>
  </si>
  <si>
    <t>Hiernaast staat de klassieke methode van personeelsplanning afgebeeld.</t>
  </si>
  <si>
    <t>In het midden missen twee cruciale begippen die allebei beginnen met</t>
  </si>
  <si>
    <r>
      <t>Concrete activiteiten</t>
    </r>
    <r>
      <rPr>
        <sz val="8"/>
        <rFont val="Arial"/>
      </rPr>
      <t xml:space="preserve"> (W&amp;S, etc)</t>
    </r>
  </si>
  <si>
    <t>Onderaan staat nog een lichtgeel vakje waarin een begrip ontbreekt.</t>
  </si>
  <si>
    <t>Vul daar het ontbrekende begrip in.</t>
  </si>
  <si>
    <t>dienstverlening kan een lijnmanager in feite geen personeelsplanning</t>
  </si>
  <si>
    <t>onderscheiden. De eerste is de functie voor het besturen van de</t>
  </si>
  <si>
    <t>organisatie (bestuurbaarheid). De tweede betreft het uitvoeren van de</t>
  </si>
  <si>
    <t>Uw antwoord:</t>
  </si>
  <si>
    <t>Concern</t>
  </si>
  <si>
    <t>gevers</t>
  </si>
  <si>
    <t>Diverse (interne</t>
  </si>
  <si>
    <t>en eventueel zelfs</t>
  </si>
  <si>
    <t>externe) opdracht-</t>
  </si>
  <si>
    <t>servicevraag</t>
  </si>
  <si>
    <t>(maatwerk)</t>
  </si>
  <si>
    <t>servicedienst</t>
  </si>
  <si>
    <t>SSC</t>
  </si>
  <si>
    <t>(frontoffice)</t>
  </si>
  <si>
    <t>Selfservice</t>
  </si>
  <si>
    <t>(bijv. e-HRM)</t>
  </si>
  <si>
    <t>Backoffice</t>
  </si>
  <si>
    <t>Postactiviteiten</t>
  </si>
  <si>
    <t>ICT</t>
  </si>
  <si>
    <t>Logistiek</t>
  </si>
  <si>
    <t>Fin. administratie</t>
  </si>
  <si>
    <t>Inkoop e.d.</t>
  </si>
  <si>
    <t>HRM!</t>
  </si>
  <si>
    <t>(gestandaardi-</t>
  </si>
  <si>
    <t>seerd)</t>
  </si>
  <si>
    <t>uitgewisseld kunnen worden, zowel via persoonlijke</t>
  </si>
  <si>
    <t>contacten als volledig geautomatiseerd via bijvoorbeeld</t>
  </si>
  <si>
    <t>een HRM-portal.</t>
  </si>
  <si>
    <t>In het midden ontbreekt een belangrijke, veel gebruikte</t>
  </si>
  <si>
    <t>Rechtsbovenin ontbreekt ook nog een veel gebruikt</t>
  </si>
  <si>
    <t>begrip. Vul het juiste begrip in.</t>
  </si>
  <si>
    <t>afkorting. Om welke gaat het? (vul in).</t>
  </si>
  <si>
    <t>SSC (middenin) en BackOffice.</t>
  </si>
  <si>
    <t>E. van Soest (auteur).</t>
  </si>
  <si>
    <t>Hieronder ziet u uw eindscore,</t>
  </si>
  <si>
    <t>Ook ziet u uw scores per</t>
  </si>
  <si>
    <t>hoofdstuk zodat u meteen weet</t>
  </si>
  <si>
    <t>welk hoofdstuk (of meervoud) u</t>
  </si>
  <si>
    <t>bestuderen. Succes.</t>
  </si>
  <si>
    <t>beter nog eens extra moet</t>
  </si>
  <si>
    <t>(wordt groen als</t>
  </si>
  <si>
    <t>uw antwoord juist is.)</t>
  </si>
  <si>
    <t>deels ok</t>
  </si>
  <si>
    <t>Training</t>
  </si>
  <si>
    <t>Opleiding</t>
  </si>
  <si>
    <t>Medezeggenschap</t>
  </si>
  <si>
    <t>Inspraak</t>
  </si>
  <si>
    <t>Ontslag</t>
  </si>
  <si>
    <t>Wet WIA</t>
  </si>
  <si>
    <t>Beoordelingsgesprek</t>
  </si>
  <si>
    <t>Werving en selectie</t>
  </si>
  <si>
    <t>(NB: standaard</t>
  </si>
  <si>
    <t>op 0 zetten in</t>
  </si>
  <si>
    <t>alle lichtgele</t>
  </si>
  <si>
    <t>vakjes!)</t>
  </si>
  <si>
    <t>Hopelijk vond u dit een leerzame proeftoets. Met vriendelijke groet, E. van Soest (auteur).</t>
  </si>
  <si>
    <t>Voor diverse vragen geldt dat u een kruisje (x) moet plaatsen in de lichtgele vakken.</t>
  </si>
  <si>
    <t>Soms moeten er getallen worden ingevuld bij bepaalde vragen/opdrachten. Standaardinvulling is dan altijd 0 (nul).</t>
  </si>
  <si>
    <t>In de meest gevallen kunt u (apart aankruisen) de antwoorden zichtbaar maken.</t>
  </si>
  <si>
    <t>Ik wens u veel leerplezier,</t>
  </si>
  <si>
    <t>66.</t>
  </si>
  <si>
    <t>Functioneringsgesprekken moeten aan een viertal basale voorwaarden</t>
  </si>
  <si>
    <t>Druk dat hiernaast in de lichtgele vakjes uit met een kernwoord.</t>
  </si>
  <si>
    <t>Twee voorwaarden die nog ontbreken:</t>
  </si>
  <si>
    <t>Wisselwerking of 2-richtingsverkeer</t>
  </si>
  <si>
    <t>Gelijkwaardigheid</t>
  </si>
  <si>
    <t>67.</t>
  </si>
  <si>
    <t>en keuzes maken ……</t>
  </si>
  <si>
    <t>wie</t>
  </si>
  <si>
    <t>welk</t>
  </si>
  <si>
    <t>wanneer</t>
  </si>
  <si>
    <t>waar</t>
  </si>
  <si>
    <t>wat</t>
  </si>
  <si>
    <t>waarom</t>
  </si>
  <si>
    <t>wijze</t>
  </si>
  <si>
    <t>Stelling:</t>
  </si>
  <si>
    <t>koppeling van ontwikkelingsinstrumenten, personeelszorg en</t>
  </si>
  <si>
    <t>Is deze stelling juist of fout? Kruis uw antwoord hiernaast aan.</t>
  </si>
  <si>
    <t>JUIST?</t>
  </si>
  <si>
    <t>FOUT?</t>
  </si>
  <si>
    <t>68.</t>
  </si>
  <si>
    <t>Een functieanalyse maken staat los van personen (is dus niet persoonsgebonden).</t>
  </si>
  <si>
    <t>van cruciale functiesituaties bruikbare informatie voor de analyse naar voren komt.</t>
  </si>
  <si>
    <t>Een functieanalyse wordt gebruikt in de wervingsfase van werving en selectie.</t>
  </si>
  <si>
    <t>De Critical Incident-methode bij functieanalyse houdt in dat aan de hand van bespreking</t>
  </si>
  <si>
    <t>De expertmethode bij functieanalyse houdt in dat een expert medewerkers gaat</t>
  </si>
  <si>
    <t>Kijk naar de afbeelding hier rechts.</t>
  </si>
  <si>
    <t>Verder staat er helemaal rechts nog een lege lichtgele cel.</t>
  </si>
  <si>
    <t>Daar hoort te staan wat de benaming is van het geheel dat</t>
  </si>
  <si>
    <t>fout</t>
  </si>
  <si>
    <t xml:space="preserve">noemt men het: </t>
  </si>
  <si>
    <t xml:space="preserve">Dit geheel </t>
  </si>
  <si>
    <t>Functievormingsproces</t>
  </si>
  <si>
    <t>Wilt u de juiste antwoorden weten? Zet dan hieronder een kruisje (x):</t>
  </si>
  <si>
    <t>juist</t>
  </si>
  <si>
    <t>Aanbodz!</t>
  </si>
  <si>
    <t>klantbehoefte/vraag</t>
  </si>
  <si>
    <t>Arbeidsmarkt</t>
  </si>
  <si>
    <t>Een synoniem voor het persoonsprofiel is ook wel competentieprofiel.</t>
  </si>
  <si>
    <t>Het begrip FunctieWaardering (FW) heeft betrekking op:</t>
  </si>
  <si>
    <t>Het rangordenen van functies (om beloningsverschilllen vast te stellen).</t>
  </si>
  <si>
    <t>Het waarderen van personen die een bepaalde functie bekleden.</t>
  </si>
  <si>
    <t>De uitvoering van het functievormingsproces.</t>
  </si>
  <si>
    <t>Het uitvoeren van functieanalyses (om de zwaarte te bepalen).</t>
  </si>
  <si>
    <t>Zonder vacturemelding is geen personeelsselectie mogelijk!</t>
  </si>
  <si>
    <t>een selecterend werking uit!</t>
  </si>
  <si>
    <t>zullen kandidaten reageren en is selectie mogelijk!</t>
  </si>
  <si>
    <t>Een vacature melden is synoniem met personeelsselectie.</t>
  </si>
  <si>
    <t>VB: W&amp;S via internet …..</t>
  </si>
  <si>
    <t>W&amp;S en social media ….</t>
  </si>
  <si>
    <t>Sector:</t>
  </si>
  <si>
    <t>1e plaats</t>
  </si>
  <si>
    <t>2e plaats</t>
  </si>
  <si>
    <t>3e plaats</t>
  </si>
  <si>
    <t>Industrie</t>
  </si>
  <si>
    <t>Commercie</t>
  </si>
  <si>
    <t>Adviesbureaus</t>
  </si>
  <si>
    <t>Overheid</t>
  </si>
  <si>
    <t>Non-profit</t>
  </si>
  <si>
    <t>Flexibiliteit</t>
  </si>
  <si>
    <t>werktijden</t>
  </si>
  <si>
    <t>Maatschappelijke</t>
  </si>
  <si>
    <t>betrokkenheid</t>
  </si>
  <si>
    <t>Imago</t>
  </si>
  <si>
    <t>Ontwikkeling /</t>
  </si>
  <si>
    <t>opleiding</t>
  </si>
  <si>
    <t>Primaire</t>
  </si>
  <si>
    <t>beloning</t>
  </si>
  <si>
    <t>mogelijkheden</t>
  </si>
  <si>
    <t>In de matrix hier rechts staan de voornaamste motieven van medewerkers</t>
  </si>
  <si>
    <t>Welk motief is dat? Schrijf hieronder uw antwoord:</t>
  </si>
  <si>
    <t>Plezierige</t>
  </si>
  <si>
    <t>werksfeer</t>
  </si>
  <si>
    <t>Wilt u het juiste antwoord weten? Zet dan hieronder een kruisje (x):</t>
  </si>
  <si>
    <t>35.</t>
  </si>
  <si>
    <t>Geef hieronder in kernwoorden aan waar het in feite bij de selectiefase om gaat;</t>
  </si>
  <si>
    <t>(4 x 0,5 punt te behalen)</t>
  </si>
  <si>
    <t>O</t>
  </si>
  <si>
    <t>V</t>
  </si>
  <si>
    <t>N</t>
  </si>
  <si>
    <t>.</t>
  </si>
  <si>
    <t>Nadere info over selectiemethoden ….</t>
  </si>
  <si>
    <t>36.</t>
  </si>
  <si>
    <t>37.</t>
  </si>
  <si>
    <r>
      <t xml:space="preserve">eind van het W&amp;S-traject </t>
    </r>
    <r>
      <rPr>
        <b/>
        <sz val="10"/>
        <rFont val="Arial"/>
        <family val="2"/>
      </rPr>
      <t xml:space="preserve">altijd </t>
    </r>
    <r>
      <rPr>
        <sz val="10"/>
        <rFont val="Arial"/>
      </rPr>
      <t>aandacht wordt besteed.</t>
    </r>
  </si>
  <si>
    <t>38.</t>
  </si>
  <si>
    <t>Een ander woord voor de 'introductiefase' is ook wel:</t>
  </si>
  <si>
    <t>Wilt u het juiste antwoord weten?</t>
  </si>
  <si>
    <t>Zet hieronder dan een kruisje (x):</t>
  </si>
  <si>
    <t>In het schema hiernaast komt tot uitdrukking dat er in de balans tussen</t>
  </si>
  <si>
    <t>NB: arbeidsrecht verandert snel, dus de antwoorden kunnen 'oud' zijn!</t>
  </si>
  <si>
    <t xml:space="preserve">Het kan dus zijn dat in dit bestand opgenomen toetsvragen alweer verouderd zijn! </t>
  </si>
  <si>
    <t>personeelsinstrumenten passend zijn voor het bereiken van bepaalde</t>
  </si>
  <si>
    <t>bewustzijn dat</t>
  </si>
  <si>
    <t>Vergroting van het</t>
  </si>
  <si>
    <t>onderlinge kennis</t>
  </si>
  <si>
    <t>gedeeld moet</t>
  </si>
  <si>
    <t>worden</t>
  </si>
  <si>
    <t>Verbetering van de</t>
  </si>
  <si>
    <t>onderlinge</t>
  </si>
  <si>
    <t>samenwerking</t>
  </si>
  <si>
    <t>van het team</t>
  </si>
  <si>
    <t>Herinrichting van werkplekverdeling</t>
  </si>
  <si>
    <t>Functie-Waardering</t>
  </si>
  <si>
    <t>Functionerings-gesprek</t>
  </si>
  <si>
    <t>Hiernaast staat een mini-Personele Implicatie Matrix (PIM).</t>
  </si>
  <si>
    <t>personeelsinstrumenten.</t>
  </si>
  <si>
    <t>Personeels-</t>
  </si>
  <si>
    <t>instrument:</t>
  </si>
  <si>
    <t>personeelsdoel.</t>
  </si>
  <si>
    <t>Als u denkt dat er geen positieve relatie is; laat dan het lichtgele</t>
  </si>
  <si>
    <t>vakje oningevuld.</t>
  </si>
  <si>
    <t>Outplacement</t>
  </si>
  <si>
    <t>Personeelsdoel A:</t>
  </si>
  <si>
    <t>Personeelsdoel B:</t>
  </si>
  <si>
    <t>Onzin</t>
  </si>
  <si>
    <t>Deels onzin</t>
  </si>
  <si>
    <t>Klopt</t>
  </si>
  <si>
    <t>Lencioni heeft een op onderzoek gebaseerde overzichtslijst opgesteld</t>
  </si>
  <si>
    <t>De grootste frustratie die samenwerking in teams moeilijk maakt is:</t>
  </si>
  <si>
    <t>Op nummer 1 staat iets dat door talloos wetenschappelijk onderzoek is bewezen als zijnde de grootste frustratie. Welke is dat?</t>
  </si>
  <si>
    <t>Vertrouwen</t>
  </si>
  <si>
    <t>Wantrouwen</t>
  </si>
  <si>
    <t>Welke van onderstaande beweringen zijn juist?</t>
  </si>
  <si>
    <t>Juist</t>
  </si>
  <si>
    <t>Onjuist</t>
  </si>
  <si>
    <t>Divers samengestelde teams presteren over het algemeen slechter dan homogeen samengestelde teams.</t>
  </si>
  <si>
    <t>Diversiteitsmanagement is het aanbieden van diverse arbeidsvoorwaarden om personeel zo optimaal mogelijk te laten werken.</t>
  </si>
  <si>
    <t>NEE, dat is onzin!</t>
  </si>
  <si>
    <t>JA, dat klopt!</t>
  </si>
  <si>
    <t>Groot</t>
  </si>
  <si>
    <t>Klein</t>
  </si>
  <si>
    <t>Weinig spanning</t>
  </si>
  <si>
    <t>Passief</t>
  </si>
  <si>
    <t>Actief</t>
  </si>
  <si>
    <t>Veel spanning</t>
  </si>
  <si>
    <t>Laag</t>
  </si>
  <si>
    <t>Hoog</t>
  </si>
  <si>
    <t>Werklast/</t>
  </si>
  <si>
    <t>taakeisen</t>
  </si>
  <si>
    <t>In het lichtgele vakje hoort nog een belangrijke variabele benoemd te</t>
  </si>
  <si>
    <t>Hiernaast staat het Job Demand Control-model van Kasarek.</t>
  </si>
  <si>
    <t>worden. Om welke variabele gaat het? Vul in.</t>
  </si>
  <si>
    <t>Controle</t>
  </si>
  <si>
    <t>Regelmogelijkheid</t>
  </si>
  <si>
    <t>Controle / regelmogelijkheid</t>
  </si>
  <si>
    <t>Half goed gerekend:</t>
  </si>
  <si>
    <t>Schaufeli en Schaufeli (2013) hebben voortgeborduurd op het JDC-model.</t>
  </si>
  <si>
    <t xml:space="preserve">Uit hun onderzoek bleek dat bepaalde factoren zorgen voor </t>
  </si>
  <si>
    <t>bevlogenheid van medewerkers (passievolle, fitte, gezonde medewerkers).</t>
  </si>
  <si>
    <t>https://www.youtube.com/watch?v=1qodbSi5hok</t>
  </si>
  <si>
    <t>https://www.youtube.com/watch?v=ebkD-Msm7Qg</t>
  </si>
  <si>
    <t>Wilt u het juiste antwoord weten? Klik dan op onderstaande weblinks.</t>
  </si>
  <si>
    <t>Onderstaande vragen hebbben betrekking op de WMCO (2012).</t>
  </si>
  <si>
    <t>Kruis je antwoord aan.</t>
  </si>
  <si>
    <t>De WMCO staat voor Wet Melding Collectief Ontslag.</t>
  </si>
  <si>
    <t>De WMCO geldt bij ontslag van meer dan 50 medewerkers.</t>
  </si>
  <si>
    <t>De WMCO geldt bij ontslag van meer dan 100 medewerkers.</t>
  </si>
  <si>
    <t>De WMCO heeft betrekking op ontslag van bedrijfseconomische aard.</t>
  </si>
  <si>
    <t>Nee, 20!</t>
  </si>
  <si>
    <t>101.</t>
  </si>
  <si>
    <t>102.</t>
  </si>
  <si>
    <t>Onderstaande vragen hebbben betrekking op de Wet Overgang van</t>
  </si>
  <si>
    <t>Als de WOVON in mijn werknemerssituatie van toepassing is, kan ik de fusie/overname dankzij die wet tegenhouden.</t>
  </si>
  <si>
    <t>De WOVON is pas van toepassing als een overnemer meer dan de helft van een andere organisatie overneemt.</t>
  </si>
  <si>
    <t>103.</t>
  </si>
  <si>
    <t>104.</t>
  </si>
  <si>
    <t>105.</t>
  </si>
  <si>
    <t>106.</t>
  </si>
  <si>
    <t>107.</t>
  </si>
  <si>
    <t>108.</t>
  </si>
  <si>
    <t>109.</t>
  </si>
  <si>
    <t>Klik op de weblink hiernaast om eerst een video te zien over</t>
  </si>
  <si>
    <t>leidinggeven, gepresenteerd door professor Mathieu Weggeman.</t>
  </si>
  <si>
    <t>museum in Leiden. Wat is hierop van toepassing? Kruis hieronder aan.</t>
  </si>
  <si>
    <t>In dit voorbeeld tonen de werknemersklanten zogeheten 'taakvolwassenheid'.</t>
  </si>
  <si>
    <t>Dit is een typisch voorbeeld van hoe een bedrijfscultuur kan verworden tot een cultuur die 'doorschiet' in regels en procedures.</t>
  </si>
  <si>
    <t>In dit voorbeeld wordt duidelijk dat de vertegenwoordiger van het facilitair bedrijf te weinig regelcapaciteit heeft.</t>
  </si>
  <si>
    <t>Nee (intrapper)</t>
  </si>
  <si>
    <t>Die vertegenwoordiger van het facilitair bedrijf heeft duidelijk een X-mensbeeld conform de theorie van McGregor.</t>
  </si>
  <si>
    <t xml:space="preserve">F. </t>
  </si>
  <si>
    <t>Hierin tonen de medewerkersklanten duidelijk zelfleiderschap.</t>
  </si>
  <si>
    <t>Klik op de weblink hiernaast om eerst een video te bekijken.</t>
  </si>
  <si>
    <t>Kruis vervolgens hieronder aan wat van toepassing is.</t>
  </si>
  <si>
    <t>Hierin tonen de medewerkers/marcheerders duidelijk zelfleiderschap.</t>
  </si>
  <si>
    <t>Bij de medewerkers/marcheerders is hoogstwaarschijnlijk sprake van een grote mate van taakvolwassenheid.</t>
  </si>
  <si>
    <t>Dit is onzin</t>
  </si>
  <si>
    <t>Dit klopt</t>
  </si>
  <si>
    <t>JUIST (Waadi)</t>
  </si>
  <si>
    <t>FOUT (wel na 4e x)</t>
  </si>
  <si>
    <t>Ìn het kader van de ATW is de maximale arbeidstijd van een dienst</t>
  </si>
  <si>
    <t>maximaal op een dag (kruis hiernaast aan):</t>
  </si>
  <si>
    <t>twee na hoogst (3) scoren.</t>
  </si>
  <si>
    <t>Scoort 3e</t>
  </si>
  <si>
    <t>Scoort 1e</t>
  </si>
  <si>
    <t>Scoort 2e</t>
  </si>
  <si>
    <t>Ontlast managers om meer tijd aan het primaire proces te besteden.</t>
  </si>
  <si>
    <t>Modern werkgeverschap.</t>
  </si>
  <si>
    <t>Het maakt de processen makkelijker.</t>
  </si>
  <si>
    <t>Het is goedkoper voor de organisatie.</t>
  </si>
  <si>
    <t>Het leidt tot betere informatievoorziening in de organisatie.</t>
  </si>
  <si>
    <t>1e</t>
  </si>
  <si>
    <t>2e</t>
  </si>
  <si>
    <t>3e</t>
  </si>
  <si>
    <t>Geef een voorbeeld van wat de combinatie (e-)HRM, Social</t>
  </si>
  <si>
    <t>organisatie daadwerkelijk kan betekenen.</t>
  </si>
  <si>
    <t>projectgroepsamenstelling</t>
  </si>
  <si>
    <t>veranderproces</t>
  </si>
  <si>
    <t>afstemming</t>
  </si>
  <si>
    <t>taken toewijzen</t>
  </si>
  <si>
    <t>Projectgroepen slim samenstellen;</t>
  </si>
  <si>
    <t>Anticiperen op medewerkers die gezien SNA belangrijk kunnen zijn voor veranderprocessen;</t>
  </si>
  <si>
    <t>Informele communicatieprocessen identificeren en van daaruit cultuurinterventies doen.</t>
  </si>
  <si>
    <t>Opleiding/Training/Vorming veel specifieker afstemmen op medewerkersdoelgroepen;</t>
  </si>
  <si>
    <t>Verder zijn er diverse (soms enigszins verborgen) weblinks verbonden aan teksten en/of afbeeldingen.</t>
  </si>
  <si>
    <t>Een filmpje over</t>
  </si>
  <si>
    <t>het 7S-model:</t>
  </si>
  <si>
    <t>Klik hier</t>
  </si>
  <si>
    <t>Vroom en Yetton</t>
  </si>
  <si>
    <t>U kunt deze toetsvragen ook voor toetsing gebruiken. Onderaan elk tabblad worden de scores bijgehouden.</t>
  </si>
  <si>
    <t>Hier heeft u de mogelijkheid om tot op zekere hoogte uw kennis met betrekking tot HRM te checken.</t>
  </si>
  <si>
    <t>Voor de open vragen geldt dat u een eigen geformuleerd antwoord, dan wel een afkorting van een begrip moet invullen.</t>
  </si>
  <si>
    <r>
      <t>Die worden in het laatste tabblad verzameld</t>
    </r>
    <r>
      <rPr>
        <sz val="10"/>
        <rFont val="Arial"/>
      </rPr>
      <t>,</t>
    </r>
    <r>
      <rPr>
        <sz val="10"/>
        <rFont val="Arial"/>
        <family val="2"/>
      </rPr>
      <t xml:space="preserve"> zodat u een overzicht krijgt van uw scores en weet waar u eventueel nog aan moet werken.</t>
    </r>
  </si>
  <si>
    <r>
      <t>Welk van de onderstaande termen zijn wel/niet geschikt om te gebruiken als synoniem voor de term 'Human Resources Management'?</t>
    </r>
    <r>
      <rPr>
        <i/>
        <sz val="10"/>
        <rFont val="Arial"/>
        <family val="2"/>
      </rPr>
      <t xml:space="preserve"> Plaats een kruisje (x) in de gele vakjes hier rechts, op de plek die volgens u van toepassing is (1 punt per elk juist antwoord).</t>
    </r>
  </si>
  <si>
    <r>
      <t xml:space="preserve">(bron: S. Rauwerdink, </t>
    </r>
    <r>
      <rPr>
        <i/>
        <sz val="10"/>
        <rFont val="Arial"/>
        <family val="2"/>
      </rPr>
      <t>Gids voor Personeelsmanagement 2009</t>
    </r>
    <r>
      <rPr>
        <sz val="10"/>
        <rFont val="Arial"/>
      </rPr>
      <t>, nr. 1/2)</t>
    </r>
  </si>
  <si>
    <r>
      <t xml:space="preserve">met betrekking tot 'Individu'? </t>
    </r>
    <r>
      <rPr>
        <i/>
        <sz val="10"/>
        <rFont val="Arial"/>
        <family val="2"/>
      </rPr>
      <t>Vul de ontbrekende term in.</t>
    </r>
  </si>
  <si>
    <t>Wat wordt bedoeld met de opmerking dat HRM zo veel mogelijk 'in de lijn gelegd' moet worden?</t>
  </si>
  <si>
    <t>Dat de uitvoering van HRM zo veel mogelijk overgelaten moet worden aan en uitgevoerd moet worden door de lijnmanagers in de organisatie.</t>
  </si>
  <si>
    <t>Dat HRM zo veel mogelijk moet worden uitbesteed.</t>
  </si>
  <si>
    <t>Wat houdt het begrip 'Empowerment' in?</t>
  </si>
  <si>
    <t>Empowerment is een specifieke vorm van managementdevelopment; een specifieke vorm om (lijn)managers te 'empoweren' (sterker te maken in de zin van leren om beter leren leiding te geven).</t>
  </si>
  <si>
    <t>Empowerment is specifiek HRM-beleid dat ertoe moet leiden dat medewerkers hun werk bewuster uitvoeren; meer overeenkomstig de door de organisatie gestelde Missie, Doelen, Visie en Strategie (MDVS).</t>
  </si>
  <si>
    <t>Een vorm van arbeidsverdeling waarbij de verdeling zo veel mogelijk totstandkomt van binnenuit, dus inductief.</t>
  </si>
  <si>
    <t>Dat de arbeidsrelaties sterk groep of team gebaseerd zijn, en met name gericht is op leren (van en met elkaar), gepaard met veel autonomie</t>
  </si>
  <si>
    <t>Een afdelingsmanager is altijd zeer bij de tijd. Hij zet veel personeelsinstrumenten in om zijn team optimaal te laten functioneren.</t>
  </si>
  <si>
    <r>
      <t xml:space="preserve">Vraag: valt deze werkwijze te zien als HRM zoals dat in het boekje 'HRM voor de lijnmanager' bedoeld wordt? </t>
    </r>
    <r>
      <rPr>
        <i/>
        <sz val="10"/>
        <rFont val="Arial"/>
        <family val="2"/>
      </rPr>
      <t>Plaats hiernaast een kruisje (x) onder het juiste antwoord.</t>
    </r>
  </si>
  <si>
    <t>Speel' eens wat met onderstaande factoren die van invloed zijn op hoe moeilijk het is om personeel</t>
  </si>
  <si>
    <t>adequaat in te zetten, door ze – om en om – in te schakelen (kruisjes (x) plaatsen in een geel vakje).</t>
  </si>
  <si>
    <t>(Hiervoor zijn geen punten te behalen.)</t>
  </si>
  <si>
    <t>Beïnvloedende factoren:</t>
  </si>
  <si>
    <t>Omvang van de organisatie (interne factor)</t>
  </si>
  <si>
    <t>Complexiteit van de organisatie (interne factor)</t>
  </si>
  <si>
    <t>Complexiteit van de organisatiedoelen (interne factor)</t>
  </si>
  <si>
    <t>Complexiteit van de methoden en middelen (interne factor)</t>
  </si>
  <si>
    <t>Complexiteit van de missie en strategie (interne factor)</t>
  </si>
  <si>
    <t>Complexiteit van omgevingsfactoren en context (externe factoren)</t>
  </si>
  <si>
    <t>De externe (omgevings)factoren die van invloed zijn op het inzetten van het personeel, hebben meer gewicht dan de interne factoren.</t>
  </si>
  <si>
    <t>Aspecten zoals organisatiedoelen, methoden, strategie, middelen, et cetera, hangen nauw met elkaar samen en zijn (dus) allemaal van invloed op hoe moeilijk het is om personeel adequaat in te zetten.</t>
  </si>
  <si>
    <t>Als (onder andere) de factor strategie zo van invloed is op het adequaat inzetten van personeel, dan is de inzet van personeel in feite ook een soort van strategische keuze!</t>
  </si>
  <si>
    <t>De zogeheten DESTEMP-factoren beïnvloeden een organisatie en zijn daarmee dus ook van invloed op besluiten omtrent de inzet van personeel.</t>
  </si>
  <si>
    <t>C. Dat is weer het gevolg van de 'vergrijzing' van onze samenleving.</t>
  </si>
  <si>
    <t>je de problematiek en de beïnvloedende factoren bekijkt.</t>
  </si>
  <si>
    <t>Kies hiernaast de desbetreffende letters in de gele vakjes met de</t>
  </si>
  <si>
    <t>cybernetisch model. Wat is het simpele synoniem daarvoor?</t>
  </si>
  <si>
    <t>Cyclisch wil zeggen: het beheersingsproces is als een cycloon, dat wil zeggen dat het het steeds intensiever wordt naarmate de tijd verstrijkt.</t>
  </si>
  <si>
    <t>Cyclisch wil zeggen: het is als een rondje, dat wil zeggen dat externe factoren er geen invloed op hebben.</t>
  </si>
  <si>
    <t>De begrippen Missie, Doelen, Visie en Strategie (MDVS) komen</t>
  </si>
  <si>
    <t>Een definitie van de heer Dorr (2001) luidt: 'een verzameling</t>
  </si>
  <si>
    <t>omzetten in uitvoer'.</t>
  </si>
  <si>
    <t>Managers nemen veelal besluiten op basis van intuïtie en werkervaring</t>
  </si>
  <si>
    <t>Zij zijn op basis van persoonlijke voorkeuren voor medewerkers, selectief in wie ze begeleidingstijd en -energie steken.</t>
  </si>
  <si>
    <t>De SWOT-analyse.</t>
  </si>
  <si>
    <t>Wilt u een SWOT-instructiefilmpje? Klik dan:</t>
  </si>
  <si>
    <t>Wilt u een Six Sigma-instructiefilmpje? Klik dan:</t>
  </si>
  <si>
    <t>De verklaringen van de antwoorden A, B en C hiervoor zijn geen van allen verklaringen die nauw aansluiten op wat veel managementgoeroes benadrukken met betrekking tot het belang van integratie van HRM in de strategische processen van de onderneming.</t>
  </si>
  <si>
    <t>Wilt u een illustratief (reclame) filmpje over de vraag?</t>
  </si>
  <si>
    <t>Stelling: 'Een HR-Managementproces is een heel ander soort</t>
  </si>
  <si>
    <t>HR-Managementproces daar ook niet parallel mee'.</t>
  </si>
  <si>
    <t>onderdeel van het algemeen managementproces'.</t>
  </si>
  <si>
    <t>Algemeen wordt aangenomen dat een (lijn)manager een en ander</t>
  </si>
  <si>
    <t xml:space="preserve"> 'terugkrijgt' wanneer hij in zijn dagelijkse werkzaamheden de nodige</t>
  </si>
  <si>
    <t>tijd en energie in HRM steekt.</t>
  </si>
  <si>
    <t>Wat krijgt de (lijn)manager volgens die algemene aanname NIET terug?</t>
  </si>
  <si>
    <t>Als de (lijn)manager investeert in HRM via optimalisering van de personeelsplanning, dan levert dat onder andere op dat hij de inzet van personeel beter kan afstemmen op de productie.</t>
  </si>
  <si>
    <t>De hoeveelheid HR-Managementinformtie neemt toe naarmate een (lijn)manager meer investeert in HRM.</t>
  </si>
  <si>
    <t>Als de (lijn)manager investeert in HRM door exit-interviews te houden met medewerkers die vertrekken, over de redenen van hun vertrek, krijgt hij daar waardevolle informatie voor terug.</t>
  </si>
  <si>
    <t>Hoe meer de (lijn)manager investeert in HRM, des te minder tijd er overblijft voor andere managementtaken en werkuitvoering, des te geringer de kans dat de (lijn)manager dan kan bijdragen aan de verwezenlijking van de afdelings- en organisatiedoelen.</t>
  </si>
  <si>
    <t>Hoe meer samenhang de (lijn)manager aanbrengt in de toepassing van de HRM-instrumenten, des te groter de kans op effectiviteit.</t>
  </si>
  <si>
    <t>NB: alleen voor de laatste vraag kan een punt behaald worden! Niet voor de andere vragen, omdat die geen deel uitmaken van de leerstof van hoofdstuk 1 van het leerboek 'HRM voor de lijnmanager'.</t>
  </si>
  <si>
    <r>
      <t>Stelling 1</t>
    </r>
    <r>
      <rPr>
        <sz val="10"/>
        <rFont val="Arial"/>
      </rPr>
      <t>: 'Door HRM-gegevens te registreren en onderling te</t>
    </r>
  </si>
  <si>
    <t>koppelen, kun je onder andere de gemiddelde productie, efficiëntie en</t>
  </si>
  <si>
    <t>effectiviteit van medewerkers in kaart brengen'.</t>
  </si>
  <si>
    <r>
      <t>Stelling 2</t>
    </r>
    <r>
      <rPr>
        <sz val="10"/>
        <rFont val="Arial"/>
      </rPr>
      <t>: 'HRM heeft betrekking op menselijke factoren, de</t>
    </r>
  </si>
  <si>
    <t>HRM niets meetbaar'.</t>
  </si>
  <si>
    <r>
      <t>Stelling 1</t>
    </r>
    <r>
      <rPr>
        <sz val="10"/>
        <rFont val="Arial"/>
      </rPr>
      <t>: 'Tussen HRM/Personeelsbeleid enerzijds en</t>
    </r>
  </si>
  <si>
    <r>
      <t>sociaal beleid anderzijds valt geen onderscheid te maken</t>
    </r>
    <r>
      <rPr>
        <sz val="10"/>
        <rFont val="Arial"/>
      </rPr>
      <t>'</t>
    </r>
    <r>
      <rPr>
        <sz val="10"/>
        <rFont val="Arial"/>
        <family val="2"/>
      </rPr>
      <t>.</t>
    </r>
  </si>
  <si>
    <r>
      <t>Stelling 2</t>
    </r>
    <r>
      <rPr>
        <sz val="10"/>
        <rFont val="Arial"/>
      </rPr>
      <t>: 'Sociaal beleid dient ervoor om nieuwkomers op de</t>
    </r>
  </si>
  <si>
    <t>arbeidsmarkt een kans te geven aan werk te komen'.</t>
  </si>
  <si>
    <r>
      <t xml:space="preserve">zijn </t>
    </r>
    <r>
      <rPr>
        <b/>
        <sz val="10"/>
        <rFont val="Arial"/>
        <family val="2"/>
      </rPr>
      <t>beide juist</t>
    </r>
  </si>
  <si>
    <r>
      <t xml:space="preserve">zijn </t>
    </r>
    <r>
      <rPr>
        <b/>
        <sz val="10"/>
        <rFont val="Arial"/>
        <family val="2"/>
      </rPr>
      <t>beide fout</t>
    </r>
  </si>
  <si>
    <t>1% van het totaal aantal vragen bedraagt:</t>
  </si>
  <si>
    <t>financiën</t>
  </si>
  <si>
    <t>Met behulp van</t>
  </si>
  <si>
    <t xml:space="preserve">mensen, middelen </t>
  </si>
  <si>
    <t>en methoden:</t>
  </si>
  <si>
    <t>service, en dergelijke</t>
  </si>
  <si>
    <t>producten,</t>
  </si>
  <si>
    <t>er zijn (mede daardoor) al heel wat samenwerkingsverbanden met</t>
  </si>
  <si>
    <t>benadrukt dat met name één kenmerk van een open systeem voor</t>
  </si>
  <si>
    <t>Alleen als uw antwoord goed is, verschijnt een groen gekleurd bericht!</t>
  </si>
  <si>
    <t>Daarvoor bestaan drie veelgebruikte HRM-termen.</t>
  </si>
  <si>
    <t>HRM richt zich op alle drie (zie de drie gele, lege vakjes).</t>
  </si>
  <si>
    <t>(NB: voor elke juiste term is 1 punt te behalen)</t>
  </si>
  <si>
    <t>In het leerboek 'HRM voor de lijnmanager' (uitgeverij Boom) staat</t>
  </si>
  <si>
    <t xml:space="preserve">aangegeven dat het voor organisaties en hun HRM heel belangrijk is </t>
  </si>
  <si>
    <t>Hiernaast steeds één uiterste aangegeven, maar ontbreekt het</t>
  </si>
  <si>
    <t>(NB: voor elke juist ingevulde tegenstelling is 1 punt te behalen)</t>
  </si>
  <si>
    <t>Lees het artikel 'Avonduitvaart' (Intermediair PW 14-04-2009).</t>
  </si>
  <si>
    <t>Geef hieronder aan welk – voor de hand liggend – HRM-aspect</t>
  </si>
  <si>
    <t>beïnvloed wordt. NB: er zijn vele antwoorden mogelijk, daarom zal</t>
  </si>
  <si>
    <t>wel juist. Check enkele antwoordmogelijkheden via (x) daaronder.</t>
  </si>
  <si>
    <t>zie de afbeelding hiernaast.</t>
  </si>
  <si>
    <t>In de afbeelding staat één kenmerkend aspect van bedrijfscultuur niet</t>
  </si>
  <si>
    <t xml:space="preserve">gedaan naar onder andere de invloed van de werksfeer op de betrokkenheid </t>
  </si>
  <si>
    <t>van medewerkers. NB: werksfeer hangt nauw samen met bedrijfscultuur.</t>
  </si>
  <si>
    <t>werksfeer als belangrijke factor voor betrokkenheid zagen (in %):</t>
  </si>
  <si>
    <t>Hiernaast staat het bekende 7S-model van McKinsey afgebeeld,</t>
  </si>
  <si>
    <t>(NB: voor elke juiste S is 1 punt te behalen)</t>
  </si>
  <si>
    <t>Dat een organisatie een systeem is waarin alle S-en nauw met elkaar samenhangen en elkaar beïnvloeden.</t>
  </si>
  <si>
    <t>Dat een organisatie altijd bestaat uit zeven organisatiedelen zijn (de 7 S-en) die voorwaardelijk zijn om van een organisatie te kunnen spreken.</t>
  </si>
  <si>
    <r>
      <t xml:space="preserve">Stelling 1 en 2 zijn </t>
    </r>
    <r>
      <rPr>
        <b/>
        <sz val="10"/>
        <rFont val="Arial"/>
        <family val="2"/>
      </rPr>
      <t>beide juist</t>
    </r>
  </si>
  <si>
    <r>
      <t xml:space="preserve">Stelling 1 en 2 zijn </t>
    </r>
    <r>
      <rPr>
        <b/>
        <sz val="10"/>
        <rFont val="Arial"/>
        <family val="2"/>
      </rPr>
      <t>beide fout</t>
    </r>
  </si>
  <si>
    <r>
      <t>Stelling 2</t>
    </r>
    <r>
      <rPr>
        <sz val="10"/>
        <rFont val="Arial"/>
      </rPr>
      <t>: 'Wanneer een organisatie zich via toepassing van HRM</t>
    </r>
  </si>
  <si>
    <r>
      <t>Stelling 1</t>
    </r>
    <r>
      <rPr>
        <sz val="10"/>
        <rFont val="Arial"/>
      </rPr>
      <t>: 'Van de vele factoren die een organisatiecultuur bepalen, is HRM een van de belangrijkere, zo niet de belangrijkste'.</t>
    </r>
  </si>
  <si>
    <t>HRM kent diverse HR-Managementtools waarmee men bij het toepassen</t>
  </si>
  <si>
    <t>c.q. aanpassen ervan een bedrijfscultuur (bedoeld of onbedoeld)</t>
  </si>
  <si>
    <t>aanzienlijk (!) kan beïnvloeden (zowel positief als negatief).</t>
  </si>
  <si>
    <t>iemand in staat stelt een bepaalde taak uit te voeren'. Om dat (leer-)</t>
  </si>
  <si>
    <t>Kennis wordt gedefinieerd (Boekhoff 1999) als 'het vermogen dat</t>
  </si>
  <si>
    <r>
      <t xml:space="preserve">vermogen te vergroten, is het volgende nodig: </t>
    </r>
    <r>
      <rPr>
        <b/>
        <sz val="10"/>
        <rFont val="Arial"/>
        <family val="2"/>
      </rPr>
      <t>I</t>
    </r>
    <r>
      <rPr>
        <sz val="10"/>
        <rFont val="Arial"/>
      </rPr>
      <t xml:space="preserve">nformatie, </t>
    </r>
    <r>
      <rPr>
        <b/>
        <sz val="10"/>
        <rFont val="Arial"/>
        <family val="2"/>
      </rPr>
      <t>E</t>
    </r>
    <r>
      <rPr>
        <sz val="10"/>
        <rFont val="Arial"/>
      </rPr>
      <t xml:space="preserve">rvaring, </t>
    </r>
    <r>
      <rPr>
        <b/>
        <sz val="10"/>
        <rFont val="Arial"/>
        <family val="2"/>
      </rPr>
      <t>V</t>
    </r>
    <r>
      <rPr>
        <sz val="10"/>
        <rFont val="Arial"/>
      </rPr>
      <t>aardigheid</t>
    </r>
  </si>
  <si>
    <r>
      <t>Stelling 1</t>
    </r>
    <r>
      <rPr>
        <sz val="10"/>
        <rFont val="Arial"/>
      </rPr>
      <t>: 'KennisManagement (KM) vergroot het leervermogen van een organisatie, maar heeft geen invloed op de productiviteit'.</t>
    </r>
  </si>
  <si>
    <r>
      <t>Stelling 2</t>
    </r>
    <r>
      <rPr>
        <sz val="10"/>
        <rFont val="Arial"/>
      </rPr>
      <t>: 'Door inzet van bepaalde HRM-instrumenten kan HRM</t>
    </r>
  </si>
  <si>
    <t>KennisManagement ondersteunen/bekrachtigen'.</t>
  </si>
  <si>
    <r>
      <t xml:space="preserve">Met de </t>
    </r>
    <r>
      <rPr>
        <b/>
        <sz val="10"/>
        <rFont val="Arial"/>
        <family val="2"/>
      </rPr>
      <t>P</t>
    </r>
    <r>
      <rPr>
        <sz val="10"/>
        <rFont val="Arial"/>
      </rPr>
      <t>roductiviteit van een organisatie duiden we op de</t>
    </r>
  </si>
  <si>
    <r>
      <t>infoboekje e</t>
    </r>
    <r>
      <rPr>
        <sz val="10"/>
        <rFont val="Arial"/>
      </rPr>
      <t xml:space="preserve">n </t>
    </r>
    <r>
      <rPr>
        <sz val="10"/>
        <rFont val="Arial"/>
        <family val="2"/>
      </rPr>
      <t>d</t>
    </r>
    <r>
      <rPr>
        <sz val="10"/>
        <rFont val="Arial"/>
      </rPr>
      <t>ergelijke</t>
    </r>
    <r>
      <rPr>
        <sz val="10"/>
        <rFont val="Arial"/>
        <family val="2"/>
      </rPr>
      <t xml:space="preserve">). Eén pakket kost 7,30 </t>
    </r>
    <r>
      <rPr>
        <sz val="10"/>
        <rFont val="Arial"/>
      </rPr>
      <t>e</t>
    </r>
    <r>
      <rPr>
        <sz val="10"/>
        <rFont val="Arial"/>
        <family val="2"/>
      </rPr>
      <t>uro om te produceren</t>
    </r>
  </si>
  <si>
    <r>
      <t xml:space="preserve">en wordt voor 19,50 </t>
    </r>
    <r>
      <rPr>
        <sz val="10"/>
        <rFont val="Arial"/>
      </rPr>
      <t>e</t>
    </r>
    <r>
      <rPr>
        <sz val="10"/>
        <rFont val="Arial"/>
        <family val="2"/>
      </rPr>
      <t>uro aan bezoekers verkocht. Maximaal kunnen</t>
    </r>
  </si>
  <si>
    <t>HRM kent diverse HR-Managementtools, waarmee men bij het toepassen</t>
  </si>
  <si>
    <r>
      <t xml:space="preserve">ervan het leervermogen </t>
    </r>
    <r>
      <rPr>
        <i/>
        <sz val="10"/>
        <rFont val="Arial"/>
        <family val="2"/>
      </rPr>
      <t>significant</t>
    </r>
    <r>
      <rPr>
        <sz val="10"/>
        <rFont val="Arial"/>
      </rPr>
      <t xml:space="preserve"> kan beïnvloeden.</t>
    </r>
  </si>
  <si>
    <t>Het percentage door u juist beantwoorde vragen bedraagt:</t>
  </si>
  <si>
    <t>Vertaald in een cijfer is uw eindcijfer:</t>
  </si>
  <si>
    <r>
      <t>Stelling 1</t>
    </r>
    <r>
      <rPr>
        <sz val="10"/>
        <rFont val="Arial"/>
      </rPr>
      <t>: 'Het (met behulp van het personeel) vergroten van de winstmarge van een product, is een personeelsdoel'.</t>
    </r>
  </si>
  <si>
    <r>
      <t>Stelling 2</t>
    </r>
    <r>
      <rPr>
        <sz val="10"/>
        <rFont val="Arial"/>
      </rPr>
      <t>: 'Organisatiedoelen en personeeldoelen hangen nauw</t>
    </r>
  </si>
  <si>
    <r>
      <t>Stelling 1</t>
    </r>
    <r>
      <rPr>
        <sz val="10"/>
        <rFont val="Arial"/>
      </rPr>
      <t>: 'Een personeelsplan is in feite hetzelfde als een personeelsplanning. Het is er eigenlijk een ander woord voor'.</t>
    </r>
  </si>
  <si>
    <r>
      <t>Stelling 2</t>
    </r>
    <r>
      <rPr>
        <sz val="10"/>
        <rFont val="Arial"/>
      </rPr>
      <t>: 'Een personeelsplan komt voort uit operationele plannen'.</t>
    </r>
  </si>
  <si>
    <r>
      <t xml:space="preserve">Wat hoort </t>
    </r>
    <r>
      <rPr>
        <sz val="10"/>
        <rFont val="Arial"/>
      </rPr>
      <t>NIET</t>
    </r>
    <r>
      <rPr>
        <sz val="10"/>
        <rFont val="Arial"/>
      </rPr>
      <t xml:space="preserve"> in een personeelsplan?</t>
    </r>
  </si>
  <si>
    <t>Of er nog veranderingen zullen optreden ten gevolge van bijvoorbeeld opvolging, promotie, overplaatsing, afvloeiing, enzovoort.</t>
  </si>
  <si>
    <r>
      <t>Stelling 1</t>
    </r>
    <r>
      <rPr>
        <sz val="10"/>
        <rFont val="Arial"/>
      </rPr>
      <t>: 'Hoe groter de verandering naar aanleiding van een (nieuw of aangepast) organisatiedoel, des te belangrijker het is om personeelsdoelen te stellen'.</t>
    </r>
  </si>
  <si>
    <r>
      <t>Stelling 2</t>
    </r>
    <r>
      <rPr>
        <sz val="10"/>
        <rFont val="Arial"/>
      </rPr>
      <t>: 'HRM en VeranderManagement hangen zeer nauw met</t>
    </r>
  </si>
  <si>
    <t>elkaar samen'.</t>
  </si>
  <si>
    <t>Een organisatie staat op het punt te gaan reorganiseren naar aanleiding van een nieuwe strategie.</t>
  </si>
  <si>
    <t>algemeen erg creatief en  vernieuwingsgezind zijn. Dat laatste is</t>
  </si>
  <si>
    <t>Of er voornemens zijn om bepaald personeel een opleiding, vorming of training te geven gedurende de volgende werkperiode.</t>
  </si>
  <si>
    <r>
      <t xml:space="preserve">In het leerboekje </t>
    </r>
    <r>
      <rPr>
        <i/>
        <sz val="10"/>
        <rFont val="Arial"/>
        <family val="2"/>
      </rPr>
      <t>HRM voor de lijnmanager</t>
    </r>
    <r>
      <rPr>
        <sz val="10"/>
        <rFont val="Arial"/>
      </rPr>
      <t xml:space="preserve"> (uitgeverij Lemma Boom)</t>
    </r>
  </si>
  <si>
    <t>Hiernaast staat de ICOTAKS-methode aangegeven. In vier gevallen is de</t>
  </si>
  <si>
    <t>betekenis van een hoofdletter al aangegeven. Bij drie nog niet.</t>
  </si>
  <si>
    <r>
      <t xml:space="preserve">Vul de ontbrekende </t>
    </r>
    <r>
      <rPr>
        <sz val="10"/>
        <rFont val="Arial"/>
      </rPr>
      <t>drie</t>
    </r>
    <r>
      <rPr>
        <sz val="10"/>
        <rFont val="Arial"/>
        <family val="2"/>
      </rPr>
      <t xml:space="preserve"> in.</t>
    </r>
  </si>
  <si>
    <r>
      <t>Stelling 1</t>
    </r>
    <r>
      <rPr>
        <sz val="10"/>
        <rFont val="Arial"/>
      </rPr>
      <t>: 'Het nut van het verzamelen van informatie uit de interne en externe analyse is dat de (lijn)manager dan een helder beeld krijgt</t>
    </r>
  </si>
  <si>
    <t>van de context waarin hij zijn keuze van personeelsdoelen maakt'.</t>
  </si>
  <si>
    <r>
      <t>Stelling 2</t>
    </r>
    <r>
      <rPr>
        <sz val="10"/>
        <rFont val="Arial"/>
      </rPr>
      <t>: 'Het ontwikkelen en formuleren van criteria voor personeels-</t>
    </r>
  </si>
  <si>
    <t>doelen dient om personeelsdoelen SMART te kunnen formuleren'.</t>
  </si>
  <si>
    <r>
      <t>Stelling 1</t>
    </r>
    <r>
      <rPr>
        <sz val="10"/>
        <rFont val="Arial"/>
      </rPr>
      <t>: 'Het toetsen van personeelsdoelen aan gestelde criteria dient ervoor om de context  waarin keuzes gemaakt moeten worden,</t>
    </r>
  </si>
  <si>
    <t>duidelijker te krijgen'.</t>
  </si>
  <si>
    <t>Tussendoortje', ter illustratie (geen punten te behalen uiteraard).</t>
  </si>
  <si>
    <t>de weegfactoren te variëren (in dit voorbeeld op een schaal van 1</t>
  </si>
  <si>
    <t>t/m 10) en door de scores in de kolommen onder de – gefingeerde –</t>
  </si>
  <si>
    <t>hoger het cijfer (max. 10) moet zijn in een leeg, geel in te vullen vakje.</t>
  </si>
  <si>
    <t xml:space="preserve">Hoe hoger een personeelsdoel met betrekking tot een criterium scoort, hoe </t>
  </si>
  <si>
    <r>
      <t>Stelling 1</t>
    </r>
    <r>
      <rPr>
        <sz val="10"/>
        <rFont val="Arial"/>
      </rPr>
      <t>: 'Bij het analyseren van welke personeelsdoelen (en/of personeelsinstrumenten) voldoen aan de criteria, is het erg belangrijk</t>
    </r>
  </si>
  <si>
    <t>stil te staan bij de samenhang (integratie) van die doelen(/instrumenten)'.</t>
  </si>
  <si>
    <r>
      <t>Stelling 2</t>
    </r>
    <r>
      <rPr>
        <sz val="10"/>
        <rFont val="Arial"/>
      </rPr>
      <t>: 'Ook is het erg belangrijk om stil te staan bij de gevolgen</t>
    </r>
  </si>
  <si>
    <t>Een manager van een facilitair bedrijf in een grote organisatie heeft</t>
  </si>
  <si>
    <t>geïnformeerd worden. Verder is hij niet zo tevreden over de beveiligers.</t>
  </si>
  <si>
    <t>Ze vormen als het ware een losstaand 'eilandje' in het geheel.</t>
  </si>
  <si>
    <t>de beveiligingsmedewerkers komend jaar wil bereiken.</t>
  </si>
  <si>
    <r>
      <t xml:space="preserve">Ad doel </t>
    </r>
    <r>
      <rPr>
        <b/>
        <sz val="10"/>
        <rFont val="Arial"/>
        <family val="2"/>
      </rPr>
      <t>A</t>
    </r>
    <r>
      <rPr>
        <sz val="10"/>
        <rFont val="Arial"/>
      </rPr>
      <t>.</t>
    </r>
  </si>
  <si>
    <r>
      <t xml:space="preserve">Ad doel </t>
    </r>
    <r>
      <rPr>
        <b/>
        <sz val="10"/>
        <rFont val="Arial"/>
        <family val="2"/>
      </rPr>
      <t>B</t>
    </r>
    <r>
      <rPr>
        <sz val="10"/>
        <rFont val="Arial"/>
      </rPr>
      <t>.</t>
    </r>
  </si>
  <si>
    <t>Als (lijn)manager wil ik met betrekking tot het beveiligingspersoneel bereiken dat:</t>
  </si>
  <si>
    <t>Dit moet binnen één jaar gelukt zijn. Meetindicator is dat minimaal 25%</t>
  </si>
  <si>
    <t>zij meer binding krijgen met de overige facilitaire medewerkers.</t>
  </si>
  <si>
    <t>zij het besluit van uitbesteding gaan accepteren. Minimaal 75% van de</t>
  </si>
  <si>
    <t xml:space="preserve">Vul de (gele) vakjes die van toepassing zijn, in met een kruisje (x). </t>
  </si>
  <si>
    <t xml:space="preserve">NB: voor de eerste twee onderdelen met betrekking tot personeelsdoel A en </t>
  </si>
  <si>
    <t>het eerste personeelsdoel B vallen geen punten te behalen (is te arbitrair).</t>
  </si>
  <si>
    <t>Simpele vraag. Hiernaast ziet u de afbeelding van een erg bekend</t>
  </si>
  <si>
    <t>Wilt u het antwoord weten? Zet dan hiernaast een kruisje (x):</t>
  </si>
  <si>
    <r>
      <t xml:space="preserve">In het leerboek </t>
    </r>
    <r>
      <rPr>
        <i/>
        <sz val="10"/>
        <rFont val="Arial"/>
        <family val="2"/>
      </rPr>
      <t xml:space="preserve">HRM voor de lijnmanager </t>
    </r>
    <r>
      <rPr>
        <sz val="10"/>
        <rFont val="Arial"/>
      </rPr>
      <t>staat in paragraaf 3.4</t>
    </r>
  </si>
  <si>
    <t>Medewerkers blijken amper bereid om – wanneer hun werk het toelaat –</t>
  </si>
  <si>
    <t>geschikt personeelsdoel zijn?</t>
  </si>
  <si>
    <t>analyse wordt gemaakt en/of SWOT-opsomming wordt gemaakt.)</t>
  </si>
  <si>
    <t>NB: het teken '&gt;' bij de O/T-items betekent: neemt toe, groeit.</t>
  </si>
  <si>
    <t>Hygiënischer</t>
  </si>
  <si>
    <t>betekenis is met betrekking tot de items die in dat vak gerelateerd worden.</t>
  </si>
  <si>
    <t>Vul met betrekking tot de drie overgebleven quadranten in wat de strategische</t>
  </si>
  <si>
    <t>betekenis is met betrekking tot SWOT-items die daar gerelateerd worden.</t>
  </si>
  <si>
    <t>(NB: in het Nederlands)</t>
  </si>
  <si>
    <t>In dit voorbeeld met betrekking tot fouten aangaande telefoonverbindingen.</t>
  </si>
  <si>
    <t>De Pareto-analyse is een van de hulpmiddelen om tot personeelsdoelen</t>
  </si>
  <si>
    <t>te komen: zicht op veelvoorkomende fouten is een invalshoek om</t>
  </si>
  <si>
    <t>in-/uitstroompercentages</t>
  </si>
  <si>
    <t>opleidingsefficiëntie per ingezet personeelsinstrument</t>
  </si>
  <si>
    <t>zwaarteoverzicht van Eerder Verworven Competenties van personeel</t>
  </si>
  <si>
    <t>10.500,–</t>
  </si>
  <si>
    <t>1064,–</t>
  </si>
  <si>
    <t>Neem het UWV-kengetal van punt E ('&gt; 50 jaar in %') voor u.</t>
  </si>
  <si>
    <t>Schat in wat daarvan het (toekomstig) risico is voor de UWV-organisatie en geef het risico met een kruisje aan in een van de lichtgele vakken</t>
  </si>
  <si>
    <t>in de matrix hiernaast. Plaats het kruisje in het juiste lichtgele vakje.</t>
  </si>
  <si>
    <t>NB: U krijgt bij het plaatsen van het kruisje direct feedback:</t>
  </si>
  <si>
    <t>Lichtgroen = deels ok (0,5 punt), valt over te discussiëren.</t>
  </si>
  <si>
    <t>Vul onderaan de hiernaast staande kolommen, in de lichtgele vakjes,</t>
  </si>
  <si>
    <t>nog twee ontbrekende voorbeelden van kostenposten in.</t>
  </si>
  <si>
    <r>
      <t xml:space="preserve">beheersen. (Bron: </t>
    </r>
    <r>
      <rPr>
        <i/>
        <sz val="10"/>
        <rFont val="Arial"/>
        <family val="2"/>
      </rPr>
      <t>Gids voor Personeelsmanagement</t>
    </r>
    <r>
      <rPr>
        <sz val="10"/>
        <rFont val="Arial"/>
      </rPr>
      <t xml:space="preserve"> 2009, nr. 1/2)</t>
    </r>
  </si>
  <si>
    <t>Bij vijf andere groepen ontbreekt her en der een instrument</t>
  </si>
  <si>
    <t>Horizontale doorstroming</t>
  </si>
  <si>
    <t>Competentieontwikkeling</t>
  </si>
  <si>
    <t>Eigen beïnvloedingsstijl</t>
  </si>
  <si>
    <t>Medewerkersenquête</t>
  </si>
  <si>
    <t>van 'de 7 W's'.</t>
  </si>
  <si>
    <t>Geef steeds in de lichtgele vakjes erachter aan om welke W het gaat.</t>
  </si>
  <si>
    <t>(NB: Ze staan nu in willekeurige volgorde)</t>
  </si>
  <si>
    <t>Zij volgen de training om de twee weken, te beginnen over drie maanden.</t>
  </si>
  <si>
    <t>De training wordt intern gehouden, in conferentieruimte lokaal 4.</t>
  </si>
  <si>
    <t>benadering en vooral upsellingstechnieken. Daarbij wordt gebruik-</t>
  </si>
  <si>
    <t xml:space="preserve">De training zal één keer per jaar gegeven worden, met name voor nieuw </t>
  </si>
  <si>
    <r>
      <t>Stelling 1</t>
    </r>
    <r>
      <rPr>
        <sz val="10"/>
        <rFont val="Arial"/>
      </rPr>
      <t>: 'In de "tienstappenmethode" van Noomen, dient eerst</t>
    </r>
  </si>
  <si>
    <t>onderzoek op organisatieniveau plaats te vinden, en daarna ten aanzien van het sociaal beleid van de organisatie'.</t>
  </si>
  <si>
    <r>
      <t>Stelling 2</t>
    </r>
    <r>
      <rPr>
        <sz val="10"/>
        <rFont val="Arial"/>
      </rPr>
      <t>: 'De "tienstappenmethode" van Noomen betreft diens bekende</t>
    </r>
  </si>
  <si>
    <t>stappen die betrekking hebben op het operationeel niveau'.</t>
  </si>
  <si>
    <r>
      <t>Stelling 1</t>
    </r>
    <r>
      <rPr>
        <sz val="10"/>
        <rFont val="Arial"/>
      </rPr>
      <t>: 'De Personele Implicatie Matrix (PIM) van Noomen kenmerkt</t>
    </r>
  </si>
  <si>
    <t>methode die goed te gebruiken is om te achterhalen of bepaalde</t>
  </si>
  <si>
    <t>zich doordat daarmee personeelsinstrumenten getoetst worden op wat ze impliceren voor te nemen HRM-maatregelen'.</t>
  </si>
  <si>
    <r>
      <t>Stelling 2</t>
    </r>
    <r>
      <rPr>
        <sz val="10"/>
        <rFont val="Arial"/>
      </rPr>
      <t>: 'De Personele Implicatie Matrix (PIM) van Noomen is een</t>
    </r>
  </si>
  <si>
    <r>
      <t>personeelsdoelen, door beide in de matrix te relateren</t>
    </r>
    <r>
      <rPr>
        <sz val="10"/>
        <rFont val="Arial"/>
      </rPr>
      <t>'</t>
    </r>
    <r>
      <rPr>
        <sz val="10"/>
        <rFont val="Arial"/>
        <family val="2"/>
      </rPr>
      <t>.</t>
    </r>
  </si>
  <si>
    <r>
      <t xml:space="preserve">Bovenaan staan </t>
    </r>
    <r>
      <rPr>
        <sz val="10"/>
        <rFont val="Arial"/>
      </rPr>
      <t>twee</t>
    </r>
    <r>
      <rPr>
        <sz val="10"/>
        <rFont val="Arial"/>
        <family val="2"/>
      </rPr>
      <t xml:space="preserve"> personeelsdoelen. Links staan enkele</t>
    </r>
  </si>
  <si>
    <r>
      <t>Plaats in de lichtgele vakken een kruistje (x) als u van mening bent</t>
    </r>
    <r>
      <rPr>
        <sz val="10"/>
        <rFont val="Arial"/>
      </rPr>
      <t xml:space="preserve"> dat</t>
    </r>
  </si>
  <si>
    <r>
      <t xml:space="preserve">het </t>
    </r>
    <r>
      <rPr>
        <sz val="10"/>
        <rFont val="Arial"/>
      </rPr>
      <t>des</t>
    </r>
    <r>
      <rPr>
        <sz val="10"/>
        <rFont val="Arial"/>
        <family val="2"/>
      </rPr>
      <t>betreffende personeelsinstrument een positieve relatie heeft met</t>
    </r>
  </si>
  <si>
    <r>
      <t xml:space="preserve">(lees: passend / geschikt is voor) het bereiken van het </t>
    </r>
    <r>
      <rPr>
        <sz val="10"/>
        <rFont val="Arial"/>
      </rPr>
      <t>des</t>
    </r>
    <r>
      <rPr>
        <sz val="10"/>
        <rFont val="Arial"/>
        <family val="2"/>
      </rPr>
      <t>betreffende</t>
    </r>
  </si>
  <si>
    <t>In de afbeelding zijn twee voorbeelden van directe opbrengsten ingevuld,</t>
  </si>
  <si>
    <t>Vul in de lichtgele vakjes één voorbeeld van een indirecte opbrengst in.</t>
  </si>
  <si>
    <t>Het vergroten van de efficiëntie van HRM (van strategie en beleid t/m de concrete inzet van HRM-instrumenten).</t>
  </si>
  <si>
    <r>
      <t>Stelling 2</t>
    </r>
    <r>
      <rPr>
        <sz val="10"/>
        <rFont val="Arial"/>
      </rPr>
      <t>: 'Een typisch voorbeeld van een HRA-vraagstuk is:</t>
    </r>
  </si>
  <si>
    <r>
      <t>Stelling 2</t>
    </r>
    <r>
      <rPr>
        <sz val="10"/>
        <rFont val="Arial"/>
      </rPr>
      <t>: 'Als een ervaren medewerker van 55 jaar een bedrijf verlaat</t>
    </r>
  </si>
  <si>
    <t>maanden meer op qua productiviteit, en dergelijke. Het Break-Even-Point</t>
  </si>
  <si>
    <t>de loonlijst komen te staan van een externe organisatie – die de</t>
  </si>
  <si>
    <t xml:space="preserve"> juridische en (salaris)administratieve rompslomp voor haar rekening</t>
  </si>
  <si>
    <t>neemt – die de de werknemers vervolgens weer uitleent aan de</t>
  </si>
  <si>
    <t>Centraal; zo veel mogelijk door afdeling P&amp;O i.s.m. het management.</t>
  </si>
  <si>
    <t>Decentraal; zo veel mogelijk door de lijnmanager, ondersteund door P&amp;O-functionaris.</t>
  </si>
  <si>
    <t>Op maat en decentraal; zo veel mogelijk door de lijnmanager, ondersteund door P&amp;O-functionaris.</t>
  </si>
  <si>
    <t>drie essentiële aandachtspunten met betrekking tot het personeel met zich mee,</t>
  </si>
  <si>
    <t>Welke drie essentiële aandachtspunten worden bedoeld?</t>
  </si>
  <si>
    <t>Vul alle drie de antwoorden hieronder in, in het lichtgele vakje.</t>
  </si>
  <si>
    <r>
      <t>Stelling 1</t>
    </r>
    <r>
      <rPr>
        <sz val="10"/>
        <rFont val="Arial"/>
      </rPr>
      <t>: 'De behoefte van een organisatie om te veranderen, komt</t>
    </r>
  </si>
  <si>
    <t>qua HRM vooral duidelijk tot uiting in de personeelsplanning'.</t>
  </si>
  <si>
    <r>
      <t>Stelling 2</t>
    </r>
    <r>
      <rPr>
        <sz val="10"/>
        <rFont val="Arial"/>
      </rPr>
      <t>: 'Of een organisatie ook daadwerkelijk kan veranderen,</t>
    </r>
  </si>
  <si>
    <t>gedragingen geven dat aan'.</t>
  </si>
  <si>
    <t>Welke van die drie kan men afleiden uit de uitkomsten van een POP?</t>
  </si>
  <si>
    <r>
      <t>Stelling 1</t>
    </r>
    <r>
      <rPr>
        <sz val="10"/>
        <rFont val="Arial"/>
      </rPr>
      <t>: 'Als het gaat om ontwikkelbehoefte, ontwikkelbereidheid en ontwikkelvermogen van personeel, is verandermanagement met name</t>
    </r>
  </si>
  <si>
    <t>relevant met betrekking tot de ontwikkelbereidheid'.</t>
  </si>
  <si>
    <t>afgebeeld. Het betreft een model dat overzicht en samenhang biedt</t>
  </si>
  <si>
    <t>Er ontbreken drie onderdelen: zie de lichtgele vakken.</t>
  </si>
  <si>
    <t>Vul de ontbrekende drie onderdelen in.</t>
  </si>
  <si>
    <t>van de vier A's van het personeelswerk (Van Aalten, 1999).</t>
  </si>
  <si>
    <t>Hiernaast staan er al twee ingevuld; de andere moeten nog ingevuld</t>
  </si>
  <si>
    <t>Vul de ontbrekende twee A's in.</t>
  </si>
  <si>
    <t>een vijfde A aan toegevoegd kunnen worden, omdat het een factor betreft</t>
  </si>
  <si>
    <t>Vul hiernaast de vijfde A in die reëel aan de vier A's kan worden toegevoegd.</t>
  </si>
  <si>
    <r>
      <t xml:space="preserve">van de </t>
    </r>
    <r>
      <rPr>
        <sz val="10"/>
        <rFont val="Arial"/>
      </rPr>
      <t>vijf</t>
    </r>
    <r>
      <rPr>
        <sz val="10"/>
        <rFont val="Arial"/>
        <family val="2"/>
      </rPr>
      <t xml:space="preserve"> grootste frustraties van samenwerking in teams.</t>
    </r>
  </si>
  <si>
    <t>Vul hiernaast de desbetreffende factor in.</t>
  </si>
  <si>
    <t>Plaats een kruisje, in de lichtgele vakken hiernaast, bij wat van toepassing is.</t>
  </si>
  <si>
    <r>
      <t>Teams met leden die qua cognitieve vaardigheden niet te</t>
    </r>
    <r>
      <rPr>
        <sz val="10"/>
        <rFont val="Arial"/>
      </rPr>
      <t xml:space="preserve"> </t>
    </r>
    <r>
      <rPr>
        <sz val="10"/>
        <rFont val="Arial"/>
        <family val="2"/>
      </rPr>
      <t>veel verschillen, presteren beter dan teams waar men wat dat betreft sterk verschilt.</t>
    </r>
  </si>
  <si>
    <r>
      <t>Stelling 1</t>
    </r>
    <r>
      <rPr>
        <sz val="10"/>
        <rFont val="Arial"/>
      </rPr>
      <t>: 'Personeelsplanning is simpel gesteld: zorgen voor de juiste medewerker op de juiste plaats op het juiste moment, om de MDVS</t>
    </r>
  </si>
  <si>
    <t>van de organisatie te helpen verwezenlijken'.</t>
  </si>
  <si>
    <r>
      <t>Stelling 2</t>
    </r>
    <r>
      <rPr>
        <sz val="10"/>
        <rFont val="Arial"/>
      </rPr>
      <t>: 'Personeelsplanning gaat vooraf aan productieplanning'.</t>
    </r>
  </si>
  <si>
    <r>
      <t>Stelling 1</t>
    </r>
    <r>
      <rPr>
        <sz val="10"/>
        <rFont val="Arial"/>
      </rPr>
      <t>: 'Productiecapaciteit = de maximale hoeveelheid goederen en diensten die in een bepaalde periode kan worden voortgebracht als alle</t>
    </r>
  </si>
  <si>
    <t>productiefactoren zijn ingeschakeld'.</t>
  </si>
  <si>
    <r>
      <t>Stelling 2</t>
    </r>
    <r>
      <rPr>
        <sz val="10"/>
        <rFont val="Arial"/>
      </rPr>
      <t xml:space="preserve">: 'Factoren van personele aard, zoals taakeisen, verloop, </t>
    </r>
  </si>
  <si>
    <r>
      <t>opleidingen, inzetbaarheid</t>
    </r>
    <r>
      <rPr>
        <sz val="10"/>
        <rFont val="Arial"/>
      </rPr>
      <t>,</t>
    </r>
    <r>
      <rPr>
        <sz val="10"/>
        <rFont val="Arial"/>
        <family val="2"/>
      </rPr>
      <t xml:space="preserve"> e</t>
    </r>
    <r>
      <rPr>
        <sz val="10"/>
        <rFont val="Arial"/>
      </rPr>
      <t xml:space="preserve">n </t>
    </r>
    <r>
      <rPr>
        <sz val="10"/>
        <rFont val="Arial"/>
        <family val="2"/>
      </rPr>
      <t>d</t>
    </r>
    <r>
      <rPr>
        <sz val="10"/>
        <rFont val="Arial"/>
      </rPr>
      <t>ergelijke</t>
    </r>
    <r>
      <rPr>
        <sz val="10"/>
        <rFont val="Arial"/>
        <family val="2"/>
      </rPr>
      <t xml:space="preserve"> be</t>
    </r>
    <r>
      <rPr>
        <sz val="10"/>
        <rFont val="Arial"/>
      </rPr>
      <t>ï</t>
    </r>
    <r>
      <rPr>
        <sz val="10"/>
        <rFont val="Arial"/>
        <family val="2"/>
      </rPr>
      <t>nvloeden de personeelsplanning</t>
    </r>
    <r>
      <rPr>
        <sz val="10"/>
        <rFont val="Arial"/>
      </rPr>
      <t>'</t>
    </r>
    <r>
      <rPr>
        <sz val="10"/>
        <rFont val="Arial"/>
        <family val="2"/>
      </rPr>
      <t>.</t>
    </r>
  </si>
  <si>
    <t>personeels…….'.</t>
  </si>
  <si>
    <r>
      <t>Stelling 1</t>
    </r>
    <r>
      <rPr>
        <sz val="10"/>
        <rFont val="Arial"/>
      </rPr>
      <t>: 'Ondercapaciteit van de productie/dienstverlening ontstaat wanneer er voor een bepaalde periode minder werk is dan de</t>
    </r>
  </si>
  <si>
    <t>beschikbare productiecapaciteit aan kan'.</t>
  </si>
  <si>
    <r>
      <t>Stelling 2</t>
    </r>
    <r>
      <rPr>
        <sz val="10"/>
        <rFont val="Arial"/>
      </rPr>
      <t>: 'Zonder inzicht in de te verwachten productie c.q.</t>
    </r>
  </si>
  <si>
    <t>maken'.</t>
  </si>
  <si>
    <r>
      <t>Stelling 1</t>
    </r>
    <r>
      <rPr>
        <sz val="10"/>
        <rFont val="Arial"/>
      </rPr>
      <t>: 'Overcapaciteit van de productie/dienstverlening is gunstig, omdat de organisatie dan voldoende capaciteit heeft en de winst</t>
    </r>
  </si>
  <si>
    <t>daarmee te vergroten valt'.</t>
  </si>
  <si>
    <t>Inzicht in een bepaalde factor is cruciaal voor een lijnmanager om</t>
  </si>
  <si>
    <t>De zijde van de werkzoekenden op de arbeidsmarkt, is dat de</t>
  </si>
  <si>
    <r>
      <t>Stelling 1</t>
    </r>
    <r>
      <rPr>
        <sz val="10"/>
        <rFont val="Arial"/>
      </rPr>
      <t>: 'Personeelsplanning wordt door vele factoren beïnvloed, onder andere door de servicegraad van een organisatie. De servicegraad houdt in:</t>
    </r>
  </si>
  <si>
    <r>
      <t>Stelling 2</t>
    </r>
    <r>
      <rPr>
        <sz val="10"/>
        <rFont val="Arial"/>
      </rPr>
      <t>: 'De bekende PDCA-cyclus van Deming staat voor:</t>
    </r>
  </si>
  <si>
    <r>
      <t>Planning, Doen, Controleren en Activeren</t>
    </r>
    <r>
      <rPr>
        <sz val="10"/>
        <rFont val="Arial"/>
      </rPr>
      <t>'</t>
    </r>
    <r>
      <rPr>
        <sz val="10"/>
        <rFont val="Arial"/>
        <family val="2"/>
      </rPr>
      <t>.</t>
    </r>
  </si>
  <si>
    <t>Kengetallen omtrent contracten voor (on)bepaalde tijd, bieden onder andere</t>
  </si>
  <si>
    <t>houvast ten aanzien van het bepalen van onder- of overcapaciteit.</t>
  </si>
  <si>
    <t>Met inschalingsgevens kan men onder andere bepalen wie er behoren tot</t>
  </si>
  <si>
    <t>bedroeg 7 miljoen euro.</t>
  </si>
  <si>
    <t>uitvoeren, uitgaande van een periode van één jaar (het afgelopen jaar).</t>
  </si>
  <si>
    <t>Klopt de volgende stelling: 'De uitkomsten geven aan dat er sprake</t>
  </si>
  <si>
    <t>was van overcapaciteit van de productie.'?</t>
  </si>
  <si>
    <t>Stel dat er met betrekking tot de productie sprake was van overcapaciteit. Klopt het</t>
  </si>
  <si>
    <t>Stel dat er met betrekking tot de productie sprake was van ondercapaciteit. Klopt het</t>
  </si>
  <si>
    <t>gemiddeld 2,3 patiënten de standaardverzorging bieden.</t>
  </si>
  <si>
    <t>gemiddeld 1,9 patiënten de standaardverzorging bieden.</t>
  </si>
  <si>
    <t>steeds een gemiddelde van 2,1 patiënten per uur.</t>
  </si>
  <si>
    <t>Welke van onderstaande beweringen zijn naar aanleiding van de casus-</t>
  </si>
  <si>
    <t>informatie zeer aannemelijk? Kruis de juiste antwoorden JA/NEE hiernaast aan.</t>
  </si>
  <si>
    <t>Grofweg zijn er twee invalshoeken om afstemming van de</t>
  </si>
  <si>
    <t>personeelsplanning te regelen: door beïnvloeding van factoren die de</t>
  </si>
  <si>
    <t>personeelsbehoefte bepalen en door beïnvloeiding van factoren die de</t>
  </si>
  <si>
    <t>Als het lichtgele vakje rood kleurt, is uw antwoord fout.</t>
  </si>
  <si>
    <t>Als het lichtgele vakje groen kleurt, is uw antwoord juist.</t>
  </si>
  <si>
    <t>Spreiding van de productie</t>
  </si>
  <si>
    <r>
      <t>Stelling 1</t>
    </r>
    <r>
      <rPr>
        <sz val="10"/>
        <rFont val="Arial"/>
      </rPr>
      <t>: 'Met inzicht in het percentage arbeidscontracten voor</t>
    </r>
  </si>
  <si>
    <t>(on)bepaalde tijd is inzicht mogelijk in het aantal overwerkuren'.</t>
  </si>
  <si>
    <r>
      <t>Stelling 2</t>
    </r>
    <r>
      <rPr>
        <sz val="10"/>
        <rFont val="Arial"/>
      </rPr>
      <t>: 'Inschalingsgegevens heeft u nodig om de arbeids-</t>
    </r>
  </si>
  <si>
    <r>
      <t>productiviteit te kunnen bepalen</t>
    </r>
    <r>
      <rPr>
        <sz val="10"/>
        <rFont val="Arial"/>
      </rPr>
      <t>'</t>
    </r>
    <r>
      <rPr>
        <sz val="10"/>
        <rFont val="Arial"/>
        <family val="2"/>
      </rPr>
      <t>.</t>
    </r>
  </si>
  <si>
    <r>
      <t>Stelling 1</t>
    </r>
    <r>
      <rPr>
        <sz val="10"/>
        <rFont val="Arial"/>
      </rPr>
      <t>: 'Inzicht in de leeftijdsopbouw van personeel is behulpzaam</t>
    </r>
  </si>
  <si>
    <t>ter ondersteuning van besluiten omtrent in- en/of uitstroom'.</t>
  </si>
  <si>
    <r>
      <t>Stelling 2</t>
    </r>
    <r>
      <rPr>
        <sz val="10"/>
        <rFont val="Arial"/>
      </rPr>
      <t>: 'Inzicht in het opleidingsniveau van personeel is behulpzaam</t>
    </r>
  </si>
  <si>
    <r>
      <t>ter ondersteuning van besluiten omtrent Opleiding/Vorming/Training</t>
    </r>
    <r>
      <rPr>
        <sz val="10"/>
        <rFont val="Arial"/>
      </rPr>
      <t>'</t>
    </r>
    <r>
      <rPr>
        <sz val="10"/>
        <rFont val="Arial"/>
        <family val="2"/>
      </rPr>
      <t>.</t>
    </r>
  </si>
  <si>
    <r>
      <t>Stelling 1</t>
    </r>
    <r>
      <rPr>
        <sz val="10"/>
        <rFont val="Arial"/>
      </rPr>
      <t>: 'Als de personeelsbeschikbaarheid in kwantitatieve zin kleiner</t>
    </r>
  </si>
  <si>
    <r>
      <t>Stelling 2</t>
    </r>
    <r>
      <rPr>
        <sz val="10"/>
        <rFont val="Arial"/>
      </rPr>
      <t>: 'Als de personeelsbeschikbaarheid in kwalitatieve zin kleiner</t>
    </r>
  </si>
  <si>
    <r>
      <t>is dan de personeelsbehoefte</t>
    </r>
    <r>
      <rPr>
        <sz val="10"/>
        <rFont val="Arial"/>
      </rPr>
      <t>,</t>
    </r>
    <r>
      <rPr>
        <sz val="10"/>
        <rFont val="Arial"/>
        <family val="2"/>
      </rPr>
      <t xml:space="preserve"> is Opleiding een geschikt instrument</t>
    </r>
    <r>
      <rPr>
        <sz val="10"/>
        <rFont val="Arial"/>
      </rPr>
      <t>'</t>
    </r>
    <r>
      <rPr>
        <sz val="10"/>
        <rFont val="Arial"/>
        <family val="2"/>
      </rPr>
      <t>.</t>
    </r>
  </si>
  <si>
    <t>Via een zogeheten situatieanalyse krijgt men onder andere zicht op de arbeidsomstandigheden</t>
  </si>
  <si>
    <t>functiecriteria en technologische criteria.</t>
  </si>
  <si>
    <t>beoordelingscriteria met betrekking tot een functie.</t>
  </si>
  <si>
    <t>Onderaan is één begrip nog niet ingevuld.</t>
  </si>
  <si>
    <t>Om welk begrip gaat het? Vul dat in.</t>
  </si>
  <si>
    <t>Situatieanalyse</t>
  </si>
  <si>
    <t>Functiekarakteristiek</t>
  </si>
  <si>
    <t>Met de zin 'Vacaturemelding: de sleutel tot personeelsselectie' wordt bedoeld:</t>
  </si>
  <si>
    <t>Alleen wanneer men bij het arbeidsbureau / de UWV een vacture meldt,</t>
  </si>
  <si>
    <t>Van het melden van een vacture op de juiste plek gaat al een</t>
  </si>
  <si>
    <r>
      <t xml:space="preserve">om te kiezen voor een werkgever (bron: </t>
    </r>
    <r>
      <rPr>
        <i/>
        <sz val="10"/>
        <rFont val="Arial"/>
        <family val="2"/>
      </rPr>
      <t>Gids voor Personeels-</t>
    </r>
  </si>
  <si>
    <r>
      <rPr>
        <i/>
        <sz val="10"/>
        <rFont val="Arial"/>
        <family val="2"/>
      </rPr>
      <t>management</t>
    </r>
    <r>
      <rPr>
        <sz val="10"/>
        <rFont val="Arial"/>
      </rPr>
      <t xml:space="preserve"> 2008, nr. 5).</t>
    </r>
  </si>
  <si>
    <t>In de blauwe vakken ontbreekt één motief.</t>
  </si>
  <si>
    <t>Carrière-</t>
  </si>
  <si>
    <r>
      <t>Stelling 1</t>
    </r>
    <r>
      <rPr>
        <sz val="10"/>
        <rFont val="Arial"/>
      </rPr>
      <t>: 'De sollicitatiefase is eigenlijk niet hetzelfde als de</t>
    </r>
  </si>
  <si>
    <t>selectiefase, maar een voorfase'.</t>
  </si>
  <si>
    <r>
      <t>Stelling 2</t>
    </r>
    <r>
      <rPr>
        <sz val="10"/>
        <rFont val="Arial"/>
      </rPr>
      <t>: 'Een synoniem voor het begrip werving dat tegenwoordig</t>
    </r>
  </si>
  <si>
    <r>
      <t>veel gebruikt wordt</t>
    </r>
    <r>
      <rPr>
        <sz val="10"/>
        <rFont val="Arial"/>
      </rPr>
      <t>,</t>
    </r>
    <r>
      <rPr>
        <sz val="10"/>
        <rFont val="Arial"/>
        <family val="2"/>
      </rPr>
      <t xml:space="preserve"> is het begrip </t>
    </r>
    <r>
      <rPr>
        <sz val="10"/>
        <rFont val="Arial"/>
      </rPr>
      <t>"</t>
    </r>
    <r>
      <rPr>
        <sz val="10"/>
        <rFont val="Arial"/>
        <family val="2"/>
      </rPr>
      <t>recruitment</t>
    </r>
    <r>
      <rPr>
        <sz val="10"/>
        <rFont val="Arial"/>
      </rPr>
      <t>"</t>
    </r>
    <r>
      <rPr>
        <sz val="10"/>
        <rFont val="Arial"/>
        <family val="2"/>
      </rPr>
      <t>'.</t>
    </r>
  </si>
  <si>
    <t>wat tracht men met betrekking tot de kandidaat te doen?</t>
  </si>
  <si>
    <t>Hoe completer uw antwoord, des te meer punten u kunt krijgen.</t>
  </si>
  <si>
    <r>
      <t>Stelling 1</t>
    </r>
    <r>
      <rPr>
        <sz val="10"/>
        <rFont val="Arial"/>
      </rPr>
      <t>: 'Een antecedentenonderzoek bij W&amp;S bestaat grofweg uit</t>
    </r>
  </si>
  <si>
    <t>een groot pakket van allerlei selectiemethoden inclusief een</t>
  </si>
  <si>
    <t>zo reëel mogelijke nabootsing van de toekomstige beroepspraktijk'.</t>
  </si>
  <si>
    <r>
      <t>Stelling 2</t>
    </r>
    <r>
      <rPr>
        <sz val="10"/>
        <rFont val="Arial"/>
      </rPr>
      <t>: 'De betrouwbaarheid van een selectie-instrument geeft aan</t>
    </r>
  </si>
  <si>
    <t>of inderdaad datgene wordt beoordeeld wat men beoogt te beoordelen'.</t>
  </si>
  <si>
    <t>(NB: Niet bedoeld worden: diploma's kopiëren, afspraken maken, en dergelijke.)</t>
  </si>
  <si>
    <t>Hiernaast staat het hele gefaseerde proces dat hierboven aan de orde is</t>
  </si>
  <si>
    <t>gekomen. Alleen het start-/vertrekpunt en de fasen in het midden en het eind</t>
  </si>
  <si>
    <t>Uit onderzoek van onder andere Daniel Goleman is gebleken dat het succes</t>
  </si>
  <si>
    <t>Het ongewenste effect dat een kandidaat in zijn totaal positief beoordeeld wordt omdat één</t>
  </si>
  <si>
    <t>onderdeel al als positief is beoordeeld en doorwerkt, noemt men het Horn-effect.</t>
  </si>
  <si>
    <t>Een voorbeeld van het zgn. 'Halo-effect' is een kandidaat die bij de prestigieuze Harvard-</t>
  </si>
  <si>
    <t>Een synoniem voor het begrip 'employability' is de werkverschaffingsplicht voor de</t>
  </si>
  <si>
    <t>Hiernaast het overzichtsschema met betrekking tot het employabilityproces afgebeeld.</t>
  </si>
  <si>
    <r>
      <t xml:space="preserve">(bron: Gorter &amp; Horn, </t>
    </r>
    <r>
      <rPr>
        <i/>
        <sz val="10"/>
        <rFont val="Arial"/>
        <family val="2"/>
      </rPr>
      <t>Gids voor Personeelsmanagement</t>
    </r>
    <r>
      <rPr>
        <sz val="10"/>
        <rFont val="Arial"/>
      </rPr>
      <t>, 2002, nr. 5)</t>
    </r>
  </si>
  <si>
    <r>
      <t>Stelling 1</t>
    </r>
    <r>
      <rPr>
        <sz val="10"/>
        <rFont val="Arial"/>
      </rPr>
      <t>: 'Verandervermogen hangt vooral af van de kwantitatieve</t>
    </r>
  </si>
  <si>
    <t>capaciteiten van de leden van de organisatie'.</t>
  </si>
  <si>
    <r>
      <t>Stelling 2</t>
    </r>
    <r>
      <rPr>
        <sz val="10"/>
        <rFont val="Arial"/>
      </rPr>
      <t>: 'Veranderbereidheid is veel meer afhankelijk van de</t>
    </r>
  </si>
  <si>
    <r>
      <t>mentaliteit in de organisatie op het moment van besluit tot verandering</t>
    </r>
    <r>
      <rPr>
        <sz val="10"/>
        <rFont val="Arial"/>
      </rPr>
      <t>'</t>
    </r>
    <r>
      <rPr>
        <sz val="10"/>
        <rFont val="Arial"/>
        <family val="2"/>
      </rPr>
      <t>.</t>
    </r>
  </si>
  <si>
    <r>
      <t>(</t>
    </r>
    <r>
      <rPr>
        <i/>
        <sz val="10"/>
        <rFont val="Arial"/>
        <family val="2"/>
      </rPr>
      <t>Gids voor Personeelsmanagement 2001</t>
    </r>
    <r>
      <rPr>
        <sz val="10"/>
        <rFont val="Arial"/>
      </rPr>
      <t>, nr. 11) afgebeeld.</t>
    </r>
  </si>
  <si>
    <t>Onder competentiemanagement wordt hier verstaan het managen</t>
  </si>
  <si>
    <t>de persoonlijke motivatie van individuele medewerkers.'</t>
  </si>
  <si>
    <r>
      <t>Stelling 1</t>
    </r>
    <r>
      <rPr>
        <sz val="10"/>
        <rFont val="Arial"/>
      </rPr>
      <t>: 'Het proces om tot een competentieprofiel te komen, is</t>
    </r>
  </si>
  <si>
    <t>aardig vergelijkbaar met het proces van functieanalyse tot functieprofiel'.</t>
  </si>
  <si>
    <r>
      <t>Stelling 2</t>
    </r>
    <r>
      <rPr>
        <sz val="10"/>
        <rFont val="Arial"/>
      </rPr>
      <t>: 'Bij competentiemanagement is het de kunst om de SOLL-</t>
    </r>
  </si>
  <si>
    <r>
      <t>situatie te laten overeenkomen met de IST-situaties en GAP's te dichten</t>
    </r>
    <r>
      <rPr>
        <sz val="10"/>
        <rFont val="Arial"/>
      </rPr>
      <t>'</t>
    </r>
    <r>
      <rPr>
        <sz val="10"/>
        <rFont val="Arial"/>
        <family val="2"/>
      </rPr>
      <t>.</t>
    </r>
  </si>
  <si>
    <t>communicatie, wat behoort bij niveau 1 'Drukt zich duidlijk, correct en begrijpelijk uit'.</t>
  </si>
  <si>
    <t>Brengt structuur aan in zijn/haar boodschap.</t>
  </si>
  <si>
    <r>
      <t>Stelling 1</t>
    </r>
    <r>
      <rPr>
        <sz val="10"/>
        <rFont val="Arial"/>
      </rPr>
      <t>: 'Volgens P. Thuis (1999) betekent Empowerment zo veel als:</t>
    </r>
  </si>
  <si>
    <r>
      <t>Stelling 2</t>
    </r>
    <r>
      <rPr>
        <sz val="10"/>
        <rFont val="Arial"/>
      </rPr>
      <t>: 'Zelfsturing betekent dat werknemers zelf vrij zijn in het</t>
    </r>
  </si>
  <si>
    <r>
      <t>bepalen van wat ze doen en hoe ze dat doen</t>
    </r>
    <r>
      <rPr>
        <sz val="10"/>
        <rFont val="Arial"/>
      </rPr>
      <t>'</t>
    </r>
    <r>
      <rPr>
        <sz val="10"/>
        <rFont val="Arial"/>
        <family val="2"/>
      </rPr>
      <t>.</t>
    </r>
  </si>
  <si>
    <t>Een installatiebedrijf heeft vier afdelingen. Drie daarvan draaien slecht. Eentje</t>
  </si>
  <si>
    <t>Formuleer het in één woord, dus nog niet SMART.</t>
  </si>
  <si>
    <t>Hieronder volgen drie definities op het gebied van taakverdeling.</t>
  </si>
  <si>
    <t>heeft veel kans passief te worden (JDC-model van Kasarek)'.</t>
  </si>
  <si>
    <r>
      <t>Stelling 2</t>
    </r>
    <r>
      <rPr>
        <sz val="10"/>
        <rFont val="Arial"/>
      </rPr>
      <t>: 'Werkstress ontstaat vooral wanneer iemand zijn werk amper</t>
    </r>
  </si>
  <si>
    <r>
      <t>kan be</t>
    </r>
    <r>
      <rPr>
        <sz val="10"/>
        <rFont val="Arial"/>
      </rPr>
      <t>ï</t>
    </r>
    <r>
      <rPr>
        <sz val="10"/>
        <rFont val="Arial"/>
        <family val="2"/>
      </rPr>
      <t>nvloeden en als de werklast hoog is (JDC-model van Kasarek)</t>
    </r>
    <r>
      <rPr>
        <sz val="10"/>
        <rFont val="Arial"/>
      </rPr>
      <t>'</t>
    </r>
    <r>
      <rPr>
        <sz val="10"/>
        <rFont val="Arial"/>
        <family val="2"/>
      </rPr>
      <t>.</t>
    </r>
  </si>
  <si>
    <r>
      <t>Stelling 1</t>
    </r>
    <r>
      <rPr>
        <sz val="10"/>
        <rFont val="Arial"/>
      </rPr>
      <t>: 'De factor beloning bevordert bevlogenheid'.</t>
    </r>
  </si>
  <si>
    <r>
      <t>Stelling 2</t>
    </r>
    <r>
      <rPr>
        <sz val="10"/>
        <rFont val="Arial"/>
      </rPr>
      <t>: 'De factor feedback bevordert bevlogenheid'.</t>
    </r>
  </si>
  <si>
    <t>Van Amelsfoort en Scholtes (1994) hebben acht ontwerpregels opgesteld voor het ontwerpen</t>
  </si>
  <si>
    <t>Streef naar geringe machine-/tempogebondenheid.</t>
  </si>
  <si>
    <t>Zorg voor voldoende communicatiemogelijkheden.</t>
  </si>
  <si>
    <r>
      <t>Stelling 1</t>
    </r>
    <r>
      <rPr>
        <sz val="10"/>
        <rFont val="Arial"/>
      </rPr>
      <t xml:space="preserve">: 'Medewerkers zijn vooral te motiveren wanneer het </t>
    </r>
  </si>
  <si>
    <t>management oprechte interesse in hen toont'.</t>
  </si>
  <si>
    <t>te zorgen voor een goede relatie met hun toekomstige supervisor/chef'.</t>
  </si>
  <si>
    <t xml:space="preserve">Hieronder staan drie van de meerdere drijfveren uit hun onderzoek. </t>
  </si>
  <si>
    <t xml:space="preserve">Hieronder staat een deel van de bekende coördinatiemechanismen </t>
  </si>
  <si>
    <t>van semi-autonome teams; standaardisatie van kennis en vaardigheden;</t>
  </si>
  <si>
    <r>
      <t>Stelling 1</t>
    </r>
    <r>
      <rPr>
        <sz val="10"/>
        <rFont val="Arial"/>
      </rPr>
      <t>: 'Het geheel van Opleiding, Vorming, Training (OVT)</t>
    </r>
  </si>
  <si>
    <t>wordt in het Engels ook wel aangeduid met de term "Development"'.</t>
  </si>
  <si>
    <r>
      <t>Stelling 2</t>
    </r>
    <r>
      <rPr>
        <sz val="10"/>
        <rFont val="Arial"/>
      </rPr>
      <t>: 'Met betrekking tot OVT wordt onderscheiden:</t>
    </r>
  </si>
  <si>
    <t>opleidingen, vorming, trainingen en scholing'.</t>
  </si>
  <si>
    <r>
      <t>Stelling 1</t>
    </r>
    <r>
      <rPr>
        <sz val="10"/>
        <rFont val="Arial"/>
      </rPr>
      <t>: 'Coaching is een OVT-vorm die valt onder de O van</t>
    </r>
  </si>
  <si>
    <t>opleiding'.</t>
  </si>
  <si>
    <r>
      <t>Stelling 2</t>
    </r>
    <r>
      <rPr>
        <sz val="10"/>
        <rFont val="Arial"/>
      </rPr>
      <t>: 'Plaats- en tijdsonafhankelijk leren met behulp van E-learning</t>
    </r>
  </si>
  <si>
    <t>kan zowel vallen onder de O als de V en T van OVT'.</t>
  </si>
  <si>
    <t>Als OVT wordt ingezet, moeten diverse belangrijke vragen beantwoord</t>
  </si>
  <si>
    <t>worden. Hieronder staan de voornaamste, maar er mist nog één zeer</t>
  </si>
  <si>
    <t>vormen. Vul de termen in in de lichtgele vakjes.</t>
  </si>
  <si>
    <t>beloning is een bonus'.</t>
  </si>
  <si>
    <r>
      <t>Stelling 2</t>
    </r>
    <r>
      <rPr>
        <sz val="10"/>
        <rFont val="Arial"/>
      </rPr>
      <t>: 'Twee voorbeelden van intrinsieke beloningen zijn</t>
    </r>
  </si>
  <si>
    <t>promotie en het mogen volgen van een opleiding'.</t>
  </si>
  <si>
    <r>
      <t>Stelling 1</t>
    </r>
    <r>
      <rPr>
        <sz val="10"/>
        <rFont val="Arial"/>
      </rPr>
      <t xml:space="preserve">: 'Een voorbeeld van niet-financiële, extrinsieke </t>
    </r>
  </si>
  <si>
    <r>
      <t>Stelling 1</t>
    </r>
    <r>
      <rPr>
        <sz val="10"/>
        <rFont val="Arial"/>
      </rPr>
      <t>: 'Prestatiebeloning bevordert onderlinge samenwerking'.</t>
    </r>
  </si>
  <si>
    <r>
      <t>Stelling 2</t>
    </r>
    <r>
      <rPr>
        <sz val="10"/>
        <rFont val="Arial"/>
      </rPr>
      <t>: 'Prestatiebeloning stimuleert medewerkers om hun werk</t>
    </r>
  </si>
  <si>
    <r>
      <t>beter te doen</t>
    </r>
    <r>
      <rPr>
        <sz val="10"/>
        <rFont val="Arial"/>
      </rPr>
      <t>'</t>
    </r>
    <r>
      <rPr>
        <sz val="10"/>
        <rFont val="Arial"/>
        <family val="2"/>
      </rPr>
      <t>.</t>
    </r>
  </si>
  <si>
    <t>ziekekostenregelingen, pensioenregelingen, en dergelijke'.</t>
  </si>
  <si>
    <r>
      <t>Stelling 2</t>
    </r>
    <r>
      <rPr>
        <sz val="10"/>
        <rFont val="Arial"/>
      </rPr>
      <t>: 'Als een "employee benefitsysteem" ook nog een zekere</t>
    </r>
  </si>
  <si>
    <r>
      <t xml:space="preserve">over een </t>
    </r>
    <r>
      <rPr>
        <sz val="10"/>
        <rFont val="Arial"/>
      </rPr>
      <t>"</t>
    </r>
    <r>
      <rPr>
        <sz val="10"/>
        <rFont val="Arial"/>
        <family val="2"/>
      </rPr>
      <t>systeem a la carte</t>
    </r>
    <r>
      <rPr>
        <sz val="10"/>
        <rFont val="Arial"/>
      </rPr>
      <t>"'</t>
    </r>
    <r>
      <rPr>
        <sz val="10"/>
        <rFont val="Arial"/>
        <family val="2"/>
      </rPr>
      <t>.</t>
    </r>
  </si>
  <si>
    <r>
      <t>Stelling 1</t>
    </r>
    <r>
      <rPr>
        <sz val="10"/>
        <rFont val="Arial"/>
      </rPr>
      <t>: 'Uit onderzoek van Stichting Loonwijzer (2008) bleek dat het</t>
    </r>
  </si>
  <si>
    <t>flexibel aandeel in het totale loon gemiddeld 40% van het geheel vormt'.</t>
  </si>
  <si>
    <r>
      <t>Stelling 2</t>
    </r>
    <r>
      <rPr>
        <sz val="10"/>
        <rFont val="Arial"/>
      </rPr>
      <t>: 'Uit onderzoek van Stichting Loonwijzer (2008) bleek dat</t>
    </r>
  </si>
  <si>
    <t>bejegend had. Men hoopt dat hij zijn handelen goed overdenkt.</t>
  </si>
  <si>
    <t>Hans is overgeplaatst naar een andere functie van lichter niveau en</t>
  </si>
  <si>
    <t>zijn salariëring wordt daarop aangepast.</t>
  </si>
  <si>
    <r>
      <t>Stelling 1</t>
    </r>
    <r>
      <rPr>
        <sz val="10"/>
        <rFont val="Arial"/>
      </rPr>
      <t>: 'Functioneringsgesprekken zijn in feite hetzelfde als</t>
    </r>
  </si>
  <si>
    <t>beoordelingsgesprekken'.</t>
  </si>
  <si>
    <r>
      <t>Stelling 2</t>
    </r>
    <r>
      <rPr>
        <sz val="10"/>
        <rFont val="Arial"/>
      </rPr>
      <t>: 'Het belangrijkste doel van functioneringsgesprekken is</t>
    </r>
  </si>
  <si>
    <r>
      <t xml:space="preserve">kan </t>
    </r>
    <r>
      <rPr>
        <sz val="10"/>
        <rFont val="Arial"/>
      </rPr>
      <t>"</t>
    </r>
    <r>
      <rPr>
        <sz val="10"/>
        <rFont val="Arial"/>
        <family val="2"/>
      </rPr>
      <t>vertalen</t>
    </r>
    <r>
      <rPr>
        <sz val="10"/>
        <rFont val="Arial"/>
      </rPr>
      <t>"</t>
    </r>
    <r>
      <rPr>
        <sz val="10"/>
        <rFont val="Arial"/>
        <family val="2"/>
      </rPr>
      <t xml:space="preserve"> naar het businessplan en managementactiviteiten</t>
    </r>
    <r>
      <rPr>
        <sz val="10"/>
        <rFont val="Arial"/>
      </rPr>
      <t>'</t>
    </r>
    <r>
      <rPr>
        <sz val="10"/>
        <rFont val="Arial"/>
        <family val="2"/>
      </rPr>
      <t>.</t>
    </r>
  </si>
  <si>
    <t>resultaten van het werk en dat zij evaluatie en feedback moeten inhouden.</t>
  </si>
  <si>
    <t xml:space="preserve">voldoen, onder andere dat zij niet beperkt moeten blijven tot alleen de </t>
  </si>
  <si>
    <t xml:space="preserve">Stelling: </t>
  </si>
  <si>
    <t>Een personal development system bestaat uit de geïntegreerde</t>
  </si>
  <si>
    <t>problem solving solutions'.</t>
  </si>
  <si>
    <t>Indien een personal development system zich specifiek richt op het</t>
  </si>
  <si>
    <t xml:space="preserve">management c.q. de leidinggevenden, dan spreekt men veelal over een </t>
  </si>
  <si>
    <t xml:space="preserve">beoordelingsgesprekken is dat in een FW-systeem de </t>
  </si>
  <si>
    <r>
      <t xml:space="preserve">In het leerboek </t>
    </r>
    <r>
      <rPr>
        <i/>
        <sz val="10"/>
        <rFont val="Arial"/>
        <family val="2"/>
      </rPr>
      <t>HRM voor de lijnmanage</t>
    </r>
    <r>
      <rPr>
        <sz val="10"/>
        <rFont val="Arial"/>
      </rPr>
      <t>r worden er vijf opgesomd.</t>
    </r>
  </si>
  <si>
    <r>
      <t>Stelling 1</t>
    </r>
    <r>
      <rPr>
        <sz val="10"/>
        <rFont val="Arial"/>
      </rPr>
      <t>: 'Potentieelbeoordeling richt zich op kwaliteitsontwikkeling en optimale inzet van personeel ten behoeve van de algehele kwaliteit van het werk'.</t>
    </r>
  </si>
  <si>
    <r>
      <t>Stelling 2</t>
    </r>
    <r>
      <rPr>
        <sz val="10"/>
        <rFont val="Arial"/>
      </rPr>
      <t>: 'Functioneringsbeoordeling richt zich op het bepalen van</t>
    </r>
  </si>
  <si>
    <t>iemands geschiktheid voor bepaalde klus, OVT, enzovoort'.</t>
  </si>
  <si>
    <t>Personeelsbeoordeling is altijd gericht op output'.</t>
  </si>
  <si>
    <t>Het eerste belangrijke aspect ontbreekt nog. Welke is dat? Vul in.</t>
  </si>
  <si>
    <r>
      <t>Stelling 1</t>
    </r>
    <r>
      <rPr>
        <sz val="10"/>
        <rFont val="Arial"/>
      </rPr>
      <t>: 'Het hulpmiddel "functiebeschrijving" kan bij een beoordeling helpen om de validiteit te vergroten'.</t>
    </r>
  </si>
  <si>
    <r>
      <t>Stelling 2</t>
    </r>
    <r>
      <rPr>
        <sz val="10"/>
        <rFont val="Arial"/>
      </rPr>
      <t>: 'Het hulpmiddel "beoordelingsformulier" kan bij beoordeling</t>
    </r>
  </si>
  <si>
    <t>helpen om de betrouwbaarheid te vergroten'.</t>
  </si>
  <si>
    <t xml:space="preserve">wijzen waarop en beoordelingsgesprek kan worden gevoerd. Alleen </t>
  </si>
  <si>
    <t>mondelinge t/m diverse schriftelijke vormen. Welke van onderstaande</t>
  </si>
  <si>
    <t>welke uitspraak het beste past bij de beoordeelde, dan valt die</t>
  </si>
  <si>
    <t>Als de beoordelaar door middel van een lijst met uitspraken moet aankruisen</t>
  </si>
  <si>
    <t>of een uitspraak met betrekking tot de beoordeelde van toepassing is, dan</t>
  </si>
  <si>
    <t xml:space="preserve"> valt die manier onder de noemer:</t>
  </si>
  <si>
    <t xml:space="preserve">Als de beoordelaar met betrekking tot de beoordeelde een resultatenmeting </t>
  </si>
  <si>
    <r>
      <t>Stelling 2</t>
    </r>
    <r>
      <rPr>
        <sz val="10"/>
        <rFont val="Arial"/>
      </rPr>
      <t>: 'Bij personeelsbeoordeling spelen de zogeheten "Halo- en</t>
    </r>
  </si>
  <si>
    <t>Horn-effecten" vaak een rol'.</t>
  </si>
  <si>
    <r>
      <t>Stelling 1</t>
    </r>
    <r>
      <rPr>
        <sz val="10"/>
        <rFont val="Arial"/>
      </rPr>
      <t>: 'Uit onderzoek (MT, 2007) is gebleken dat een meerderheid van de leidinggevenden een medewerker wel eens een positievere</t>
    </r>
  </si>
  <si>
    <t>beoordeling heeft gegeven dan hem/haar eigenlijk toekwam'.</t>
  </si>
  <si>
    <r>
      <t>Stelling 2</t>
    </r>
    <r>
      <rPr>
        <sz val="10"/>
        <rFont val="Arial"/>
      </rPr>
      <t>: 'Uit onderzoek (MT, 2007) is gebleken dat als leidinggevenden</t>
    </r>
  </si>
  <si>
    <t>een medewerker een positievere beoordeling gaven dan hem/haar eigenlijk</t>
  </si>
  <si>
    <r>
      <t xml:space="preserve">In het leerboek </t>
    </r>
    <r>
      <rPr>
        <i/>
        <sz val="10"/>
        <rFont val="Arial"/>
        <family val="2"/>
      </rPr>
      <t>HRM voor de lijnmanager</t>
    </r>
    <r>
      <rPr>
        <sz val="10"/>
        <rFont val="Arial"/>
      </rPr>
      <t xml:space="preserve"> is een paragraaf gewijd aan</t>
    </r>
  </si>
  <si>
    <t>van beoordelen aan de hand van gedragsdimensies.</t>
  </si>
  <si>
    <r>
      <t>Stelling 2</t>
    </r>
    <r>
      <rPr>
        <sz val="10"/>
        <rFont val="Arial"/>
      </rPr>
      <t>: 'Naast vergroting van betrokkenheid van medewerkers bij hun werk,</t>
    </r>
  </si>
  <si>
    <t>(grote) organisaties bestaat om functioneringsproblemen – ook van</t>
  </si>
  <si>
    <t>medische aard – van personeelsleden te bespreken.</t>
  </si>
  <si>
    <t>mee te maken krijgen (bijv. met betrekking tot ziekmelding en re-integratie).</t>
  </si>
  <si>
    <t>Werknemers die na twee jaar ziekte meer dan 35% arbeidsongeschikt zijn,</t>
  </si>
  <si>
    <t>ook een rol in het traject van ziekmelding en reïntegratie? (geef afkorting)</t>
  </si>
  <si>
    <r>
      <t>Stelling 2</t>
    </r>
    <r>
      <rPr>
        <sz val="10"/>
        <rFont val="Arial"/>
      </rPr>
      <t>: 'Het ZiekteVerzuimpercentage in de sector onderwijs is veel</t>
    </r>
  </si>
  <si>
    <r>
      <t>Stelling 2</t>
    </r>
    <r>
      <rPr>
        <sz val="10"/>
        <rFont val="Arial"/>
      </rPr>
      <t>: 'Bij performance wordt vaak gebruikgemaakt van prestatie-</t>
    </r>
  </si>
  <si>
    <r>
      <t>Stelling 1</t>
    </r>
    <r>
      <rPr>
        <sz val="10"/>
        <rFont val="Arial"/>
      </rPr>
      <t>: 'Een typisch voorbeeld van een prestatie-indicator in het hotelwezen is de snelheid waarmee een klantbetaling door de bank is verwerkt.</t>
    </r>
  </si>
  <si>
    <r>
      <t>Stelling 2</t>
    </r>
    <r>
      <rPr>
        <sz val="10"/>
        <rFont val="Arial"/>
      </rPr>
      <t xml:space="preserve">: 'Een typisch voorbeeld van een prestatie-indicator voor een </t>
    </r>
  </si>
  <si>
    <r>
      <t>Stelling 1</t>
    </r>
    <r>
      <rPr>
        <sz val="10"/>
        <rFont val="Arial"/>
      </rPr>
      <t>: 'Een typisch voorbeeld van een prestatie-indicator in het hotelwezen is het aantal klachten van hotelgasten over de tijd dat zij moeten wachten</t>
    </r>
  </si>
  <si>
    <r>
      <t>Stelling 2</t>
    </r>
    <r>
      <rPr>
        <sz val="10"/>
        <rFont val="Arial"/>
      </rPr>
      <t>: 'De Balance Score Card (BSC) is een afgeleide van de</t>
    </r>
  </si>
  <si>
    <r>
      <t xml:space="preserve">het HRM-instrument wat 'er het meest toe doet' (lees: effectief). Kruis </t>
    </r>
    <r>
      <rPr>
        <sz val="10"/>
        <rFont val="Arial"/>
      </rPr>
      <t>uw</t>
    </r>
    <r>
      <rPr>
        <sz val="10"/>
        <rFont val="Arial"/>
        <family val="2"/>
      </rPr>
      <t xml:space="preserve"> antwoord aan.</t>
    </r>
  </si>
  <si>
    <r>
      <rPr>
        <sz val="10"/>
        <rFont val="Arial"/>
      </rPr>
      <t>C</t>
    </r>
    <r>
      <rPr>
        <sz val="10"/>
        <rFont val="Arial"/>
        <family val="2"/>
      </rPr>
      <t>ommunicatie en kennisoverdracht</t>
    </r>
  </si>
  <si>
    <t>Om ontslag te kunnen effectueren, is het noodzakelijk dat een</t>
  </si>
  <si>
    <t>De WOVON regelt dat bij overgang van een onderneming de rechten en plichten van de oude op de nieuwe werkgever overgaan.</t>
  </si>
  <si>
    <t>De WOVON is  wetgeving die zeer relevant is in geval van outscourcing / uitbesteding.</t>
  </si>
  <si>
    <r>
      <t xml:space="preserve">personeel (bron: </t>
    </r>
    <r>
      <rPr>
        <i/>
        <sz val="10"/>
        <rFont val="Arial"/>
        <family val="2"/>
      </rPr>
      <t>Vision on HRM</t>
    </r>
    <r>
      <rPr>
        <sz val="10"/>
        <rFont val="Arial"/>
      </rPr>
      <t>, 2009), op basis van de methode van</t>
    </r>
  </si>
  <si>
    <t>Tijdsbeslag</t>
  </si>
  <si>
    <t>(externe) training</t>
  </si>
  <si>
    <r>
      <t>Stelling 1</t>
    </r>
    <r>
      <rPr>
        <sz val="10"/>
        <rFont val="Arial"/>
      </rPr>
      <t>: 'Een ontslagverbod is het verbod iemand te mogen ontslaan tijdens de proeftijd'.</t>
    </r>
  </si>
  <si>
    <r>
      <t>Stelling 2</t>
    </r>
    <r>
      <rPr>
        <sz val="10"/>
        <rFont val="Arial"/>
      </rPr>
      <t>: 'Een synoniem voor het begrip "ontslagverbod" is "opzegverbod"'.</t>
    </r>
  </si>
  <si>
    <r>
      <t>Stelling 2</t>
    </r>
    <r>
      <rPr>
        <sz val="10"/>
        <rFont val="Arial"/>
      </rPr>
      <t>: 'Detachering is een HRM-instrument dat vaak ingezet wordt</t>
    </r>
  </si>
  <si>
    <t>Een paar vragen met betrekking tot kennis van begrippen:</t>
  </si>
  <si>
    <t>Wat is de uitdrukking die men vaak gebruikt voor een financiële</t>
  </si>
  <si>
    <t xml:space="preserve">vergoeding voor medewerkers die zij krijgen wanneer zij – tegen </t>
  </si>
  <si>
    <t>hun oorspronkelijke bedoeling in – de organisatie niet verlaten?</t>
  </si>
  <si>
    <t>Enkele kennisvragen met betrekking tot leidinggeven:</t>
  </si>
  <si>
    <t>Geef een synoniem van de 'Leiderschapsmatrix' van Blake en Mouton:</t>
  </si>
  <si>
    <t>Reddin heeft in zijn driedimensionale benadering vier essentiële eigen-</t>
  </si>
  <si>
    <t>afstemmen op de situatie; beschikken over de vaardigheid een</t>
  </si>
  <si>
    <t>situatie te veranderen. Welke essentiële vierde ontbreekt nog?:</t>
  </si>
  <si>
    <t>van een negatief mensbeeld, dat zich veelal uit in een traditionele,</t>
  </si>
  <si>
    <t>en de groep slecht of goed is en de mate waarin taken gestructureerd</t>
  </si>
  <si>
    <t>Het voornaamste onderscheid dat vele theorieën omtrent leidinggeven</t>
  </si>
  <si>
    <t>stijl en anderzijds een ………………. leiderschapsstijl. Vul in:</t>
  </si>
  <si>
    <t>medewerkersdat inschatten – goed in: ……….. (vul hiernaast in)</t>
  </si>
  <si>
    <t xml:space="preserve">De onderzochte managers achtten zich – in tegenstelling tot hoe de </t>
  </si>
  <si>
    <t>werkers dat inschatten – juist minder goed in: …….. (vul hiernaast in)</t>
  </si>
  <si>
    <t>De onderzochte managers achtten zich – in tegenstelling tot hoe de mede-</t>
  </si>
  <si>
    <t>In diverse theorieën omtrent leidinggeven wordt het belang van een</t>
  </si>
  <si>
    <t>Klopt de volgende stelling? 'Bij transformationeel leiderschap</t>
  </si>
  <si>
    <t>er van hen verwacht wordt;  de medewerkers moeten in ruil daarvoor</t>
  </si>
  <si>
    <t>goede prestaties leveren.' (vul hiernaast in: 'ja' of 'nee')</t>
  </si>
  <si>
    <t>Bij zogeheten 'zelfleiderschap' (Manz en Sims) gaat het vooral</t>
  </si>
  <si>
    <t>om: ……. (vul hiernaast het begrip in)</t>
  </si>
  <si>
    <t>is om te werken, noemt men ……….. (vul in)</t>
  </si>
  <si>
    <t>dat leidinggevenden/managers zo veel mogelijk moeten streven naar: ….</t>
  </si>
  <si>
    <r>
      <t>Stelling 2</t>
    </r>
    <r>
      <rPr>
        <sz val="10"/>
        <rFont val="Arial"/>
      </rPr>
      <t>: 'Niet vrijblijvende feedback (zonder "afrekencultuur" en</t>
    </r>
  </si>
  <si>
    <t>met waarborging van anonimiteit) kan bijdragen aan minder</t>
  </si>
  <si>
    <t>Weggeman haalt een voorbeeld aan over een facilitair bedrijf van een</t>
  </si>
  <si>
    <r>
      <t xml:space="preserve">Dit is een typisch voorbeeld van consideratief gedrag bij de </t>
    </r>
    <r>
      <rPr>
        <sz val="10"/>
        <rFont val="Arial"/>
      </rPr>
      <t>des</t>
    </r>
    <r>
      <rPr>
        <sz val="10"/>
        <rFont val="Arial"/>
        <family val="2"/>
      </rPr>
      <t>betreffende vertegenwoordiger van het facilitair bedrijf.</t>
    </r>
  </si>
  <si>
    <t>Hier is duidelijk sprake van zogeheten 'narcistisch' gedrag, conform de theorie van goeroe Manfred Kets de Vries.</t>
  </si>
  <si>
    <r>
      <t xml:space="preserve">Dit is een kwestie van de cultuur van een land (theorie van Hofstede) </t>
    </r>
    <r>
      <rPr>
        <sz val="10"/>
        <rFont val="Arial"/>
      </rPr>
      <t>d</t>
    </r>
    <r>
      <rPr>
        <sz val="10"/>
        <rFont val="Arial"/>
        <family val="2"/>
      </rPr>
      <t>at zoiets mogelijk maakt.</t>
    </r>
  </si>
  <si>
    <t xml:space="preserve">beide uitersten waarin met betrekking tot leidinggeven die balans gezocht </t>
  </si>
  <si>
    <t>moet worden.</t>
  </si>
  <si>
    <t>Quinn (1997) onderscheidt acht voorname managementrollen met</t>
  </si>
  <si>
    <t>hiernaast in de matrix. Vul de ontbrekende begrippen in in de</t>
  </si>
  <si>
    <t>Managementvaardigheden (kern) volgens Quinn (1997)</t>
  </si>
  <si>
    <t>Coördinatorrol</t>
  </si>
  <si>
    <t>Ideeën</t>
  </si>
  <si>
    <t>Typologieën van leiderschapsrollen, kernactiviteiten of benodigde vaardigheden</t>
  </si>
  <si>
    <t>(coördineren)</t>
  </si>
  <si>
    <r>
      <t xml:space="preserve">In het leerboek </t>
    </r>
    <r>
      <rPr>
        <i/>
        <sz val="10"/>
        <rFont val="Arial"/>
        <family val="2"/>
      </rPr>
      <t>HRM voor de lijnmanager</t>
    </r>
    <r>
      <rPr>
        <sz val="10"/>
        <rFont val="Arial"/>
      </rPr>
      <t xml:space="preserve"> is een overzicht opgenomen</t>
    </r>
  </si>
  <si>
    <t>van diverse typologieën van leiderschapsstijlen, rollen, kernactiviteiten</t>
  </si>
  <si>
    <t>Vul de ontbrekende begrippen in in de lichtgele vakken.</t>
  </si>
  <si>
    <t>tot leidinggeven. Quinn geeft daarmee aan dat managers/leidinggevenden</t>
  </si>
  <si>
    <t>altijd moeten oppassen om vanuit een bepaalde rol niet te veel door</t>
  </si>
  <si>
    <t>Hiernaast staat het kader van de acht Quinn-rollen met Positieve en</t>
  </si>
  <si>
    <t>Geef in de lichtgele vakken steeds het begrip aan dat van</t>
  </si>
  <si>
    <t>Negatieve zone, 'te':</t>
  </si>
  <si>
    <t>Te sterk gericht op</t>
  </si>
  <si>
    <t>Coördinator</t>
  </si>
  <si>
    <t>Zorgzaam</t>
  </si>
  <si>
    <t xml:space="preserve">afgebeeld, waarin de positieve en negatieve zones staan met betrekking </t>
  </si>
  <si>
    <r>
      <t xml:space="preserve">In het leerboek </t>
    </r>
    <r>
      <rPr>
        <i/>
        <sz val="10"/>
        <rFont val="Arial"/>
        <family val="2"/>
      </rPr>
      <t>HRM voor de lijnmanager</t>
    </r>
    <r>
      <rPr>
        <sz val="10"/>
        <rFont val="Arial"/>
      </rPr>
      <t xml:space="preserve"> is het model van Quinn (1997) </t>
    </r>
  </si>
  <si>
    <t>Omdat – zoals eerder vermeld – arbeidsrecht en sociale zekerheid</t>
  </si>
  <si>
    <t>Alleen over de meest essentiële aspecten en/of aspecten waarvan te</t>
  </si>
  <si>
    <t>worden hier leer-/toetsvragen aangeboden.</t>
  </si>
  <si>
    <r>
      <t xml:space="preserve">De 'boodschap' van hoofdstuk 6 uit het leerboek </t>
    </r>
    <r>
      <rPr>
        <i/>
        <sz val="10"/>
        <rFont val="Arial"/>
        <family val="2"/>
      </rPr>
      <t>HRM voor de lijnmanager</t>
    </r>
    <r>
      <rPr>
        <sz val="10"/>
        <rFont val="Arial"/>
      </rPr>
      <t xml:space="preserve"> mag duidelijk zijn:</t>
    </r>
  </si>
  <si>
    <t>inzet van HRM/personeelsinstrumenten kan gepaard gaan met gevolgen op het gebied van, of nauw</t>
  </si>
  <si>
    <t>Bij zzp'ers is meestal de ('gewone') arbeidsovereenkomst van</t>
  </si>
  <si>
    <t>Bij een arbeidsovereenkomst voor onbepaalde moet men de beëindiging</t>
  </si>
  <si>
    <t>Wet minimumloon en minimumvakantiebijslag van toepassing is.</t>
  </si>
  <si>
    <t>Het Buitengewoon Besluit Arbeidsverhoudingen is alleen van toepassing</t>
  </si>
  <si>
    <t>Als een freelancer in de praktijk steeds slechts één opdrachtgever heeft,</t>
  </si>
  <si>
    <t>Als een flexwerker voor een eerste keer een arbeidsovereenkomst heeft</t>
  </si>
  <si>
    <t>Verlenging van een tijdelijke arbeidsovereenkomst binnen drie maanden</t>
  </si>
  <si>
    <r>
      <t xml:space="preserve">na einde van de vorige overeenkomst is in beginsel alleen </t>
    </r>
    <r>
      <rPr>
        <sz val="10"/>
        <rFont val="Arial"/>
      </rPr>
      <t>drie</t>
    </r>
    <r>
      <rPr>
        <sz val="10"/>
        <rFont val="Arial"/>
        <family val="2"/>
      </rPr>
      <t xml:space="preserve"> keer</t>
    </r>
  </si>
  <si>
    <t>De afkorting cao staat voor: Convenant ArbeidsOverleg.</t>
  </si>
  <si>
    <t xml:space="preserve">Een eigen cao van een organisatie kan bepalen dat die cao (deels) </t>
  </si>
  <si>
    <t>van toepassing is op uitzendkrachten in plaats van een uitzend-cao.</t>
  </si>
  <si>
    <t>Een IAO en een cao kunnen niet tegelijkertijd van toepassing zijn.</t>
  </si>
  <si>
    <t>Er is verschil tussen een ondernemings-cao en bedrijfstak-cao.</t>
  </si>
  <si>
    <t>voor hem geldende cao, dan gaat de IAO voor boven de cao.</t>
  </si>
  <si>
    <t>De afkorting AVV (relevant voor cao's) staat voor:</t>
  </si>
  <si>
    <t>Als in een bedrijfstak een cao formeel AVV verklaard wordt, dan</t>
  </si>
  <si>
    <t>geldt de desbetreffende cao voor alle werkgevers en werknemers in die</t>
  </si>
  <si>
    <t>bedrijfstak, zelfs al hebben zij al een (eigen) andere cao!</t>
  </si>
  <si>
    <t>Bij een 'standaard-cao' mogen werkgevers in gunstige zin daarvan</t>
  </si>
  <si>
    <t>afwijken; bij een 'minimum-cao' mag dat niet.</t>
  </si>
  <si>
    <t>Een cao heeft een 'nawerking'. Dit wil zeggen dat wanneer de cao-</t>
  </si>
  <si>
    <t>nog geen nieuwe cao is afgesloten.</t>
  </si>
  <si>
    <t>In de detailhandel spreekt men niet over een cao, maar over de</t>
  </si>
  <si>
    <t>Cao-bepalingen gaan voor bepalingen van het Burgerlijk Wetboek.</t>
  </si>
  <si>
    <t>Salariëring / bezoldiging</t>
  </si>
  <si>
    <t>Kortingen e.d. met betrekking tot producten of diensten van de organisatie</t>
  </si>
  <si>
    <t>Beëindigingsregels met betrekking tot de arbeidsovereenkomst</t>
  </si>
  <si>
    <r>
      <t>Stelling 2</t>
    </r>
    <r>
      <rPr>
        <sz val="10"/>
        <rFont val="Arial"/>
      </rPr>
      <t xml:space="preserve">: 'Tertiaire arbeidsvoorwaarden worden niet in cao's vastgelegd; </t>
    </r>
  </si>
  <si>
    <t>zij zijn bedrijfsgebonden'.</t>
  </si>
  <si>
    <r>
      <t>Stelling 1</t>
    </r>
    <r>
      <rPr>
        <sz val="10"/>
        <rFont val="Arial"/>
      </rPr>
      <t>: 'Het zogeheten "cafetariasysteem" is een uitvoeringsvorm van "employee benefit" (BE)'.</t>
    </r>
  </si>
  <si>
    <r>
      <t>Stelling 2:</t>
    </r>
    <r>
      <rPr>
        <sz val="10"/>
        <rFont val="Arial"/>
      </rPr>
      <t xml:space="preserve"> 'Het zogeheten "cao a la carte-systeem" is een uitvoerings-</t>
    </r>
  </si>
  <si>
    <t>vorm van "employee benefits" (BE)'.</t>
  </si>
  <si>
    <t>Onder voorbehoud van mogelijke wetsveranderingen nog enkele</t>
  </si>
  <si>
    <t>kennisvragen omtrent wet- en regelgeving (0,5 punt per vraag).</t>
  </si>
  <si>
    <t xml:space="preserve">De Wet Bescherming Persoonsgegevens (WBP) is in tegenstelling tot de </t>
  </si>
  <si>
    <t>Wet op de Privacy voor een doorsnee lijnmanager niet zo relevant.</t>
  </si>
  <si>
    <t>Kantonrechters handelen rechtszaken over terugbetaling van studie-</t>
  </si>
  <si>
    <t>kosten af op basis van redelijkheid en billijkheid, omdat hierover niets</t>
  </si>
  <si>
    <t>basis vakantiedagen – 20 – gaat).</t>
  </si>
  <si>
    <t>De verjaringstermijn van vakantie-aanspraak bedraagt vijf jaar.</t>
  </si>
  <si>
    <t>Werknemers hebben – uitgaande van een fulltime baan – recht op</t>
  </si>
  <si>
    <r>
      <t xml:space="preserve">De </t>
    </r>
    <r>
      <rPr>
        <sz val="10"/>
        <color rgb="FFFF0000"/>
        <rFont val="Arial"/>
      </rPr>
      <t>regels</t>
    </r>
    <r>
      <rPr>
        <sz val="10"/>
        <rFont val="Arial"/>
      </rPr>
      <t xml:space="preserve"> omtrent opzegging van de arbeidsrelatie zijn</t>
    </r>
  </si>
  <si>
    <r>
      <t xml:space="preserve">De maximale werktijd voor 15-jarigen per vakantiedag en niet-schooldag </t>
    </r>
    <r>
      <rPr>
        <sz val="10"/>
        <rFont val="Arial"/>
      </rPr>
      <t xml:space="preserve"> is:</t>
    </r>
  </si>
  <si>
    <r>
      <t>Stelling 1</t>
    </r>
    <r>
      <rPr>
        <sz val="10"/>
        <rFont val="Arial"/>
      </rPr>
      <t>: 'Voor beeldschermwerkers en jongeren gelden afwijkende arbeidstijdregelingen'.</t>
    </r>
  </si>
  <si>
    <r>
      <t>Stelling 2</t>
    </r>
    <r>
      <rPr>
        <sz val="10"/>
        <rFont val="Arial"/>
      </rPr>
      <t>: 'In principe kan een werknemer pas overwerk weigeren als</t>
    </r>
  </si>
  <si>
    <r>
      <t>hij in een week al 60 uur heeft gewerkt</t>
    </r>
    <r>
      <rPr>
        <sz val="10"/>
        <rFont val="Arial"/>
      </rPr>
      <t>'</t>
    </r>
    <r>
      <rPr>
        <sz val="10"/>
        <rFont val="Arial"/>
        <family val="2"/>
      </rPr>
      <t>.</t>
    </r>
  </si>
  <si>
    <r>
      <t>Stelling 2</t>
    </r>
    <r>
      <rPr>
        <sz val="10"/>
        <rFont val="Arial"/>
      </rPr>
      <t>: 'Een ARBO-catalogus bevat ARBO-producten en diensten'.</t>
    </r>
  </si>
  <si>
    <r>
      <t>Stelling 1</t>
    </r>
    <r>
      <rPr>
        <sz val="10"/>
        <rFont val="Arial"/>
      </rPr>
      <t>: 'De ARBO-wet onderscheidt het publieke en private domein. De regels voor het publieke domein vormen als het ware het kader voor het private domein'.</t>
    </r>
  </si>
  <si>
    <r>
      <t>Stelling 1</t>
    </r>
    <r>
      <rPr>
        <sz val="10"/>
        <rFont val="Arial"/>
      </rPr>
      <t>: 'Het geheel van de verwerkte "doelschriften" die de overheid voorschrijft, tezamen de ARBO-catalogus, vormen voor de</t>
    </r>
  </si>
  <si>
    <t>private sector in feite hun ARBO-beleid'.</t>
  </si>
  <si>
    <r>
      <t>Stelling 2</t>
    </r>
    <r>
      <rPr>
        <sz val="10"/>
        <rFont val="Arial"/>
      </rPr>
      <t>: 'Het toezicht houden op de naleving van de ARBO-wetgeving</t>
    </r>
  </si>
  <si>
    <t>en ARBO-catalogus geschiedt door de ARBO-dienst'.</t>
  </si>
  <si>
    <t>De voor ARBO zeer relevante afkorting 'RIE' staat voor:</t>
  </si>
  <si>
    <t>zij dient zich daartoe te wenden tot de rechtbank.</t>
  </si>
  <si>
    <t>Ook illegale tewerkstelling en onderbetaling van werknemers behoort</t>
  </si>
  <si>
    <t>Enkele kennisvragen met betrekking tot de Wet op de OndernemingsRaden.</t>
  </si>
  <si>
    <t>Vervolg met betrekking tot de WOR. (0,5 punt per vraag)</t>
  </si>
  <si>
    <t>Bedrijven met meer dan 100 werknemers zijn verplicht tot de</t>
  </si>
  <si>
    <t>aanvragen, is bij de Hoge Raad.</t>
  </si>
  <si>
    <r>
      <t xml:space="preserve">Weet u nog uit hoofdstuk 1 van het leerboek </t>
    </r>
    <r>
      <rPr>
        <i/>
        <sz val="10"/>
        <rFont val="Arial"/>
        <family val="2"/>
      </rPr>
      <t xml:space="preserve">HRM voor de </t>
    </r>
  </si>
  <si>
    <r>
      <rPr>
        <i/>
        <sz val="10"/>
        <rFont val="Arial"/>
        <family val="2"/>
      </rPr>
      <t>lijnmanager</t>
    </r>
    <r>
      <rPr>
        <sz val="10"/>
        <rFont val="Arial"/>
      </rPr>
      <t xml:space="preserve"> wat de kern van de samenhang is?</t>
    </r>
  </si>
  <si>
    <t>Volgens Baarda (2002) zijn er drie functies van personeelsinformatie te</t>
  </si>
  <si>
    <t>activiteiten (beheersbaarheid). Wat is de hier ontbrekende derde functie?</t>
  </si>
  <si>
    <r>
      <t>Stelling 1</t>
    </r>
    <r>
      <rPr>
        <sz val="10"/>
        <rFont val="Arial"/>
      </rPr>
      <t>: 'De afkorting "e-HRM" staat voor effectief en efficiënt Human Resources Management; de moderne versie van personeelsmanagemement'.</t>
    </r>
  </si>
  <si>
    <r>
      <t>Stelling 2</t>
    </r>
    <r>
      <rPr>
        <sz val="10"/>
        <rFont val="Arial"/>
      </rPr>
      <t>: 'Een portal is een PersoneelsInformatieRegistratieSysteem'.</t>
    </r>
  </si>
  <si>
    <r>
      <t>Stelling 1</t>
    </r>
    <r>
      <rPr>
        <sz val="10"/>
        <rFont val="Arial"/>
      </rPr>
      <t>: 'Via e-HRM is het onder andere mogelijk om omzet- winstcijfers  te relateren aan personeelsgegevens, zoals de gemiddelde omzet per</t>
    </r>
  </si>
  <si>
    <t>FTE of de productietijd, gerelateerd aan het gemiddeld aantal werkuren.</t>
  </si>
  <si>
    <r>
      <t>Stelling 2</t>
    </r>
    <r>
      <rPr>
        <sz val="10"/>
        <rFont val="Arial"/>
      </rPr>
      <t>: 'E-HRM is alleen voor de werkgever handig, niet voor de</t>
    </r>
  </si>
  <si>
    <t>werknemers'.</t>
  </si>
  <si>
    <r>
      <t xml:space="preserve">Volgens divers onderzoek, waaronder van </t>
    </r>
    <r>
      <rPr>
        <i/>
        <sz val="10"/>
        <rFont val="Arial"/>
        <family val="2"/>
      </rPr>
      <t>Computable,</t>
    </r>
    <r>
      <rPr>
        <sz val="10"/>
        <rFont val="Arial"/>
        <family val="2"/>
      </rPr>
      <t xml:space="preserve"> 2013, heeft</t>
    </r>
  </si>
  <si>
    <t>e-HRM diverse voordelen voor lijnmanagers. Geef hieronder aan</t>
  </si>
  <si>
    <r>
      <t>welk</t>
    </r>
    <r>
      <rPr>
        <sz val="10"/>
        <rFont val="Arial"/>
      </rPr>
      <t>e</t>
    </r>
    <r>
      <rPr>
        <sz val="10"/>
        <rFont val="Arial"/>
        <family val="2"/>
      </rPr>
      <t xml:space="preserve"> voordelen gemiddeld het hoogst (1), op een na hoogst (2) en op </t>
    </r>
  </si>
  <si>
    <t xml:space="preserve">Networks Analysis (SNA) en KennisManagement voor een </t>
  </si>
  <si>
    <t>Geïdentificeerde medewerkers specifieke taken toewijzen;</t>
  </si>
  <si>
    <t>Hiernaast staat een afbeelding van hoe via back&amp;frontofficesystemen,</t>
  </si>
  <si>
    <t>allerlei gegevens, waaronder met betrekking tot HRM, gekoppeld en</t>
  </si>
  <si>
    <r>
      <t xml:space="preserve">Met dank voor het aanschaffen van het leerboek </t>
    </r>
    <r>
      <rPr>
        <i/>
        <sz val="10"/>
        <rFont val="Arial"/>
        <family val="2"/>
      </rPr>
      <t>HRM voor de lijnmanager</t>
    </r>
    <r>
      <rPr>
        <sz val="10"/>
        <rFont val="Arial"/>
      </rPr>
      <t>,</t>
    </r>
  </si>
  <si>
    <r>
      <rPr>
        <i/>
        <sz val="10"/>
        <color indexed="13"/>
        <rFont val="Arial"/>
      </rPr>
      <t>HRM voor de lijnmanager</t>
    </r>
    <r>
      <rPr>
        <sz val="10"/>
        <color indexed="13"/>
        <rFont val="Arial"/>
      </rPr>
      <t>, Boom Lemma uitgevers, hoofdstuk 6.</t>
    </r>
  </si>
  <si>
    <r>
      <t>LET OP: arbeidsrecht en sociale zekerheid (dat met name in Hoofstuk 6 aan bod komt) verander</t>
    </r>
    <r>
      <rPr>
        <sz val="10"/>
        <rFont val="Arial"/>
      </rPr>
      <t>en</t>
    </r>
    <r>
      <rPr>
        <sz val="10"/>
        <rFont val="Arial"/>
        <family val="2"/>
      </rPr>
      <t xml:space="preserve"> vaak. </t>
    </r>
  </si>
  <si>
    <r>
      <rPr>
        <i/>
        <sz val="10"/>
        <color indexed="13"/>
        <rFont val="Arial"/>
      </rPr>
      <t>HRM voor de lijnmanager</t>
    </r>
    <r>
      <rPr>
        <sz val="10"/>
        <color indexed="13"/>
        <rFont val="Arial"/>
      </rPr>
      <t>,  Boom Lemma uitgevers, hoofdstuk 1.</t>
    </r>
  </si>
  <si>
    <r>
      <rPr>
        <i/>
        <sz val="10"/>
        <rFont val="Arial"/>
        <family val="2"/>
      </rPr>
      <t>HRM voor de lijnmanager</t>
    </r>
    <r>
      <rPr>
        <sz val="10"/>
        <rFont val="Arial"/>
      </rPr>
      <t>, Erik van Soest, Boom Lemma uitgevers)</t>
    </r>
  </si>
  <si>
    <t>HRM is het personeelsmanagement behorend bij organisaties met organische arbeidsstructuren waarin een verregaande vorm van delegatie en "empowerment" naar en op de werkvloer wordt toegepast.'</t>
  </si>
  <si>
    <r>
      <rPr>
        <i/>
        <sz val="10"/>
        <color indexed="13"/>
        <rFont val="Arial"/>
      </rPr>
      <t>HRM voor de lijnmanager</t>
    </r>
    <r>
      <rPr>
        <sz val="10"/>
        <color indexed="13"/>
        <rFont val="Arial"/>
      </rPr>
      <t>, Boom Lemma uitgevers, hoofdstuk 2.</t>
    </r>
  </si>
  <si>
    <t>derden' tot stand gekomen waar nieuwe producten uit zijn</t>
  </si>
  <si>
    <r>
      <t xml:space="preserve">In het leerboek </t>
    </r>
    <r>
      <rPr>
        <i/>
        <sz val="10"/>
        <rFont val="Arial"/>
        <family val="2"/>
      </rPr>
      <t>HRM voor de lijnmanager</t>
    </r>
    <r>
      <rPr>
        <sz val="10"/>
        <rFont val="Arial"/>
      </rPr>
      <t xml:space="preserve"> (Boom Lemma uitgevers) wordt</t>
    </r>
  </si>
  <si>
    <t>Voer uw antwoord hiernaast in, afgerond op twee cijfers achter de komma:</t>
  </si>
  <si>
    <r>
      <rPr>
        <i/>
        <sz val="10"/>
        <color indexed="13"/>
        <rFont val="Arial"/>
      </rPr>
      <t>HRM voor de lijnmanager</t>
    </r>
    <r>
      <rPr>
        <sz val="10"/>
        <color indexed="13"/>
        <rFont val="Arial"/>
      </rPr>
      <t>, Boom Lemma uitgevers, hoofdstuk 3.</t>
    </r>
  </si>
  <si>
    <r>
      <t>Stelling 2</t>
    </r>
    <r>
      <rPr>
        <sz val="10"/>
        <rFont val="Arial"/>
      </rPr>
      <t>: 'Het werken met weegfactoren in een beslissingsmatrix is</t>
    </r>
  </si>
  <si>
    <t>een handig hulpmiddel in het keuzeproces van de te wegen items'.</t>
  </si>
  <si>
    <t>van het werken met bepaalde personeelsdoelen (en/of -instrumenten)'.</t>
  </si>
  <si>
    <r>
      <t>Stelling 1</t>
    </r>
    <r>
      <rPr>
        <sz val="10"/>
        <rFont val="Arial"/>
      </rPr>
      <t>: 'Kengetallen zijn zogeheten verhoudingscijfers tussen</t>
    </r>
  </si>
  <si>
    <t>telkens twee (bedrijfseconomische) verschijnselen, waarmee men de situatie in een of ander opzicht in het bedrijf of de instelling schetst'.</t>
  </si>
  <si>
    <r>
      <t>Stelling 2</t>
    </r>
    <r>
      <rPr>
        <sz val="10"/>
        <rFont val="Arial"/>
      </rPr>
      <t>: 'Stuurgetallen geven dezelfde informatie als kengetallen,</t>
    </r>
  </si>
  <si>
    <t>waarmee men beleid voert'.</t>
  </si>
  <si>
    <t>bedraagt dus slechts een paar maanden'.</t>
  </si>
  <si>
    <r>
      <rPr>
        <i/>
        <sz val="10"/>
        <color indexed="13"/>
        <rFont val="Arial"/>
      </rPr>
      <t>HRM voor de lijnmanager</t>
    </r>
    <r>
      <rPr>
        <sz val="10"/>
        <color indexed="13"/>
        <rFont val="Arial"/>
      </rPr>
      <t>, Boom Lemma uitgevers, hoofdstuk 4.</t>
    </r>
  </si>
  <si>
    <t xml:space="preserve">standaardisatie van waarden en normen. </t>
  </si>
  <si>
    <t>zogeheten Management Development-systeem'.</t>
  </si>
  <si>
    <r>
      <t>Stelling 1</t>
    </r>
    <r>
      <rPr>
        <sz val="10"/>
        <rFont val="Arial"/>
      </rPr>
      <t>: 'Beëindiging van een dienstverband van rechtswege houdt in dat de beeindiging juridisch gezien mag'.</t>
    </r>
  </si>
  <si>
    <r>
      <t>Stelling 2</t>
    </r>
    <r>
      <rPr>
        <sz val="10"/>
        <rFont val="Arial"/>
      </rPr>
      <t>: 'Het is in principe toegestaan om iemand tijdens diens</t>
    </r>
  </si>
  <si>
    <t>proeftijd te ontslaan zonder opgave van reden'.</t>
  </si>
  <si>
    <r>
      <t>Stelling 2</t>
    </r>
    <r>
      <rPr>
        <sz val="10"/>
        <rFont val="Arial"/>
      </rPr>
      <t>: 'In het kader van het onderwerp leidinggeven houdt</t>
    </r>
  </si>
  <si>
    <r>
      <t>zelfoverschatting bij leidinggevenden</t>
    </r>
    <r>
      <rPr>
        <sz val="10"/>
        <rFont val="Arial"/>
      </rPr>
      <t>'</t>
    </r>
    <r>
      <rPr>
        <sz val="10"/>
        <rFont val="Arial"/>
        <family val="2"/>
      </rPr>
      <t>.</t>
    </r>
  </si>
  <si>
    <r>
      <rPr>
        <b/>
        <sz val="10"/>
        <rFont val="Arial"/>
        <family val="2"/>
      </rPr>
      <t>Stelling:</t>
    </r>
    <r>
      <rPr>
        <sz val="10"/>
        <rFont val="Arial"/>
      </rPr>
      <t xml:space="preserve"> 'Het HR-Managementproces is in feite een specifiek</t>
    </r>
  </si>
  <si>
    <t>Kwaliteit van</t>
  </si>
  <si>
    <r>
      <t>Stelling 1</t>
    </r>
    <r>
      <rPr>
        <sz val="10"/>
        <rFont val="Arial"/>
      </rPr>
      <t>: 'Het ishikawa-diagram c.q. visgraatdiagram is een hulpmiddel</t>
    </r>
  </si>
  <si>
    <t>om een probleemveroorzaker (of meervoud) in kaart te brengen in een organisatie; maar niet om personeelsdoelen uit af te leiden'.</t>
  </si>
  <si>
    <t>een personeelsdoel (of meervoud) vaststellen'.</t>
  </si>
  <si>
    <r>
      <t>Stelling 2</t>
    </r>
    <r>
      <rPr>
        <sz val="10"/>
        <rFont val="Arial"/>
      </rPr>
      <t>: 'Er is een direct verband mogelijk tussen werkdruk en</t>
    </r>
  </si>
  <si>
    <t>ongewenst gedrag van medewerkers'.</t>
  </si>
  <si>
    <r>
      <t>Stelling 2</t>
    </r>
    <r>
      <rPr>
        <sz val="10"/>
        <rFont val="Arial"/>
      </rPr>
      <t>: 'Zonder inzicht in de personeelsplanning kan een lijnmanager</t>
    </r>
  </si>
  <si>
    <r>
      <t>geen productieplanning maken</t>
    </r>
    <r>
      <rPr>
        <sz val="10"/>
        <rFont val="Arial"/>
      </rPr>
      <t>'</t>
    </r>
    <r>
      <rPr>
        <sz val="10"/>
        <rFont val="Arial"/>
        <family val="2"/>
      </rPr>
      <t>.</t>
    </r>
  </si>
  <si>
    <t xml:space="preserve">de juiste antwoorden JA/NEE aan te kruisen in de lichtgele vakjes): </t>
  </si>
  <si>
    <t>is dan de personeelsbehoefte, is Opleiding een geschikt instrument'.</t>
  </si>
  <si>
    <t>Hartelijk dank voor de aanschaf van het leerboek "HRM voor de lijnmanager" van uitgeverij Boom Lemma, auteur E. van Soest.</t>
  </si>
  <si>
    <r>
      <t xml:space="preserve">De verdeling van Taken, Bevoegdheden en Verantwoordelijkheden op een dusdanige manier </t>
    </r>
    <r>
      <rPr>
        <sz val="10"/>
        <rFont val="Arial"/>
        <family val="2"/>
      </rPr>
      <t xml:space="preserve">maken </t>
    </r>
    <r>
      <rPr>
        <sz val="10"/>
        <rFont val="Arial"/>
      </rPr>
      <t>dat deze zo transparant mogelijk is.</t>
    </r>
  </si>
  <si>
    <r>
      <t xml:space="preserve">De afdelingsmanager is daarom zeer geïnteresseerd in HRM. Hij leest er veel over en probeert elke keer een nieuw personeelsinstrument </t>
    </r>
    <r>
      <rPr>
        <sz val="10"/>
        <rFont val="Arial"/>
        <family val="2"/>
      </rPr>
      <t>uit.</t>
    </r>
  </si>
  <si>
    <r>
      <t xml:space="preserve">Als dat hem bevalt, wisselt hij zo'n personeelsinstrument in voor het </t>
    </r>
    <r>
      <rPr>
        <sz val="10"/>
        <rFont val="Arial"/>
      </rPr>
      <t xml:space="preserve">instrument dat hij voorheen gebruikte. De afdelingsdoelen zijn daarbij niet zozeer leidend, maar </t>
    </r>
    <r>
      <rPr>
        <sz val="10"/>
        <rFont val="Arial"/>
        <family val="2"/>
      </rPr>
      <t xml:space="preserve">volgen </t>
    </r>
    <r>
      <rPr>
        <sz val="10"/>
        <rFont val="Arial"/>
      </rPr>
      <t>moderne HRM-trends en ontwikkelingen.</t>
    </r>
  </si>
  <si>
    <r>
      <t>Aan de hand van de definitie van HRM</t>
    </r>
    <r>
      <rPr>
        <sz val="10"/>
        <rFont val="Arial"/>
        <family val="2"/>
      </rPr>
      <t>,</t>
    </r>
    <r>
      <rPr>
        <sz val="10"/>
        <rFont val="Arial"/>
      </rPr>
      <t xml:space="preserve"> zoals </t>
    </r>
    <r>
      <rPr>
        <sz val="10"/>
        <rFont val="Arial"/>
        <family val="2"/>
      </rPr>
      <t>deze</t>
    </r>
    <r>
      <rPr>
        <sz val="10"/>
        <rFont val="Arial"/>
      </rPr>
      <t xml:space="preserve"> in het leerboek 'HRM voor de lijnmanager' staat, bevat HRM een vijftal kernelementen.</t>
    </r>
  </si>
  <si>
    <r>
      <t xml:space="preserve">Het begrip 'personeel' is onlosmakelijk verbonden met het begrip 'organisatie' en op </t>
    </r>
    <r>
      <rPr>
        <sz val="10"/>
        <rFont val="Arial"/>
        <family val="2"/>
      </rPr>
      <t>zijn</t>
    </r>
    <r>
      <rPr>
        <sz val="10"/>
        <rFont val="Arial"/>
      </rPr>
      <t xml:space="preserve"> beurt weer met de externe omgeving.</t>
    </r>
  </si>
  <si>
    <r>
      <t xml:space="preserve">heel vaak terug tijdens de behandeling van </t>
    </r>
    <r>
      <rPr>
        <sz val="10"/>
        <rFont val="Arial"/>
        <family val="2"/>
      </rPr>
      <t>de t</t>
    </r>
    <r>
      <rPr>
        <sz val="10"/>
        <rFont val="Arial"/>
      </rPr>
      <t>heorie op het gebied van</t>
    </r>
  </si>
  <si>
    <r>
      <t>Juist omdat</t>
    </r>
    <r>
      <rPr>
        <sz val="10"/>
        <rFont val="Arial"/>
      </rPr>
      <t xml:space="preserve"> managers vanuit</t>
    </r>
    <r>
      <rPr>
        <sz val="10"/>
        <rFont val="Arial"/>
        <family val="2"/>
      </rPr>
      <t xml:space="preserve"> hun</t>
    </r>
    <r>
      <rPr>
        <sz val="10"/>
        <rFont val="Arial"/>
      </rPr>
      <t xml:space="preserve"> intuïtie en werkervaring aanvoelen welke medewerkers zwak of slecht presteren, beseffen ze dat het weinig nut heeft om tijd en energie in hen te steken, maar zij dat beter kunnen doen </t>
    </r>
    <r>
      <rPr>
        <sz val="10"/>
        <rFont val="Arial"/>
        <family val="2"/>
      </rPr>
      <t>in</t>
    </r>
    <r>
      <rPr>
        <sz val="10"/>
        <rFont val="Arial"/>
      </rPr>
      <t xml:space="preserve"> de medewerkers die wel voldoende of goed presteren.</t>
    </r>
  </si>
  <si>
    <r>
      <t xml:space="preserve">Ongeacht waarin </t>
    </r>
    <r>
      <rPr>
        <sz val="10"/>
        <rFont val="Arial"/>
      </rPr>
      <t>de (lijn)manager qua HRM zijn tijd en energie investeert: de opbrengst is altijd evenredig aan de investering.</t>
    </r>
  </si>
  <si>
    <r>
      <t xml:space="preserve">De kwaliteit </t>
    </r>
    <r>
      <rPr>
        <sz val="10"/>
        <rFont val="Arial"/>
        <family val="2"/>
      </rPr>
      <t>van</t>
    </r>
    <r>
      <rPr>
        <sz val="10"/>
        <rFont val="Arial"/>
      </rPr>
      <t xml:space="preserve"> HR-Managementinformtie neemt toe naarmate een (lijn)manager meer investeert in HRM.</t>
    </r>
  </si>
  <si>
    <r>
      <t>concrete uitvoering van HRM afgebeeld. Eén</t>
    </r>
    <r>
      <rPr>
        <sz val="10"/>
        <rFont val="Arial"/>
      </rPr>
      <t xml:space="preserve"> onderdeel is </t>
    </r>
    <r>
      <rPr>
        <sz val="10"/>
        <rFont val="Arial"/>
        <family val="2"/>
      </rPr>
      <t>nog</t>
    </r>
    <r>
      <rPr>
        <sz val="10"/>
        <rFont val="Arial"/>
      </rPr>
      <t xml:space="preserve"> niet</t>
    </r>
  </si>
  <si>
    <r>
      <t>Het totaal aantal vragen waarvoor 1 punt te</t>
    </r>
    <r>
      <rPr>
        <sz val="10"/>
        <rFont val="Arial"/>
        <family val="2"/>
      </rPr>
      <t xml:space="preserve"> behalen</t>
    </r>
    <r>
      <rPr>
        <sz val="10"/>
        <rFont val="Arial"/>
      </rPr>
      <t xml:space="preserve"> is bedraagt:</t>
    </r>
  </si>
  <si>
    <r>
      <t>Personeels</t>
    </r>
    <r>
      <rPr>
        <sz val="10"/>
        <rFont val="Arial"/>
      </rPr>
      <t>doelen</t>
    </r>
  </si>
  <si>
    <r>
      <t>Personeels</t>
    </r>
    <r>
      <rPr>
        <sz val="10"/>
        <rFont val="Arial"/>
      </rPr>
      <t>instrumenten</t>
    </r>
  </si>
  <si>
    <r>
      <t xml:space="preserve">erg gericht op nieuwe trends en ontwikkelingen omdat </t>
    </r>
    <r>
      <rPr>
        <sz val="10"/>
        <rFont val="Arial"/>
        <family val="2"/>
      </rPr>
      <t>de</t>
    </r>
    <r>
      <rPr>
        <sz val="10"/>
        <rFont val="Arial"/>
      </rPr>
      <t xml:space="preserve"> producten </t>
    </r>
    <r>
      <rPr>
        <sz val="10"/>
        <rFont val="Arial"/>
        <family val="2"/>
      </rPr>
      <t>van</t>
    </r>
  </si>
  <si>
    <r>
      <rPr>
        <sz val="10"/>
        <rFont val="Arial"/>
        <family val="2"/>
      </rPr>
      <t xml:space="preserve">het bedrijf </t>
    </r>
    <r>
      <rPr>
        <sz val="10"/>
        <rFont val="Arial"/>
      </rPr>
      <t>dat vergt. Er wordt veel van sociale media gebruikgemaakt en</t>
    </r>
  </si>
  <si>
    <r>
      <t>voortgekomen. Het bedrijf regelt dat echter heel goed; het</t>
    </r>
    <r>
      <rPr>
        <sz val="10"/>
        <rFont val="Arial"/>
      </rPr>
      <t xml:space="preserve"> legt zo snel mogelijk de rechten ervan vast, zodat concurrenten er niet mee aan de haal kunnen</t>
    </r>
    <r>
      <rPr>
        <sz val="10"/>
        <rFont val="Arial"/>
        <family val="2"/>
      </rPr>
      <t xml:space="preserve"> gaan.</t>
    </r>
  </si>
  <si>
    <t>informatie, enz.</t>
  </si>
  <si>
    <r>
      <t xml:space="preserve">besloten ook 's avonds crematies te laten </t>
    </r>
    <r>
      <rPr>
        <sz val="10"/>
        <rFont val="Arial"/>
        <family val="2"/>
      </rPr>
      <t>plaatsvinden</t>
    </r>
    <r>
      <rPr>
        <sz val="10"/>
        <rFont val="Arial"/>
      </rPr>
      <t>.</t>
    </r>
  </si>
  <si>
    <r>
      <t>Tussendoortje (hiervoor zijn geen punten te behalen)</t>
    </r>
    <r>
      <rPr>
        <i/>
        <sz val="10"/>
        <color rgb="FFFF0000"/>
        <rFont val="Arial"/>
      </rPr>
      <t>:</t>
    </r>
  </si>
  <si>
    <r>
      <t xml:space="preserve">Plaats hiernaast een kruisje (x) voor de uitslag van </t>
    </r>
    <r>
      <rPr>
        <b/>
        <i/>
        <sz val="10"/>
        <rFont val="Arial"/>
        <family val="2"/>
      </rPr>
      <t>werkgevers</t>
    </r>
    <r>
      <rPr>
        <i/>
        <sz val="10"/>
        <rFont val="Arial"/>
        <family val="2"/>
      </rPr>
      <t>:</t>
    </r>
  </si>
  <si>
    <r>
      <t xml:space="preserve">Plaats hiernaast een kruisje (x) voor de uitslag van </t>
    </r>
    <r>
      <rPr>
        <b/>
        <i/>
        <sz val="10"/>
        <rFont val="Arial"/>
        <family val="2"/>
      </rPr>
      <t>medewerkers</t>
    </r>
    <r>
      <rPr>
        <i/>
        <sz val="10"/>
        <rFont val="Arial"/>
        <family val="2"/>
      </rPr>
      <t>:</t>
    </r>
  </si>
  <si>
    <t xml:space="preserve">en ………….. Uitgedrukt in de formule: K = I x EVA. </t>
  </si>
  <si>
    <r>
      <t xml:space="preserve">Bewering: 'Operationele plannen met betrekking tot individuele medewerkers (bijvoorbeeld dat sommigen een POP moeten opstellen) monden uiteindelijk </t>
    </r>
    <r>
      <rPr>
        <sz val="10"/>
        <rFont val="Arial"/>
      </rPr>
      <t xml:space="preserve">uit in een zogeheten personeelsplan'. </t>
    </r>
  </si>
  <si>
    <r>
      <t>Ze zijn ook altijd razend enthousiast en gedreven,</t>
    </r>
    <r>
      <rPr>
        <sz val="10"/>
        <rFont val="Arial"/>
        <family val="2"/>
      </rPr>
      <t xml:space="preserve"> zodanig</t>
    </r>
    <r>
      <rPr>
        <sz val="10"/>
        <rFont val="Arial"/>
      </rPr>
      <t xml:space="preserve"> zelfs dat de</t>
    </r>
  </si>
  <si>
    <r>
      <t xml:space="preserve">vergaderingen niet altijd </t>
    </r>
    <r>
      <rPr>
        <sz val="10"/>
        <rFont val="Arial"/>
        <family val="2"/>
      </rPr>
      <t>even gestructureerd</t>
    </r>
    <r>
      <rPr>
        <sz val="10"/>
        <rFont val="Arial"/>
      </rPr>
      <t xml:space="preserve"> verlopen.</t>
    </r>
  </si>
  <si>
    <r>
      <t xml:space="preserve">daarvoor is </t>
    </r>
    <r>
      <rPr>
        <sz val="10"/>
        <rFont val="Arial"/>
        <family val="2"/>
      </rPr>
      <t xml:space="preserve">dat </t>
    </r>
    <r>
      <rPr>
        <sz val="10"/>
        <rFont val="Arial"/>
      </rPr>
      <t>er allerlei externe ontwikkelingen zijn die vergen dat de</t>
    </r>
  </si>
  <si>
    <r>
      <rPr>
        <sz val="10"/>
        <rFont val="Arial"/>
        <family val="2"/>
      </rPr>
      <t>Zou</t>
    </r>
    <r>
      <rPr>
        <sz val="10"/>
        <rFont val="Arial"/>
      </rPr>
      <t xml:space="preserve"> u – gezien de casusinformatie – een geschikt alternatief als</t>
    </r>
  </si>
  <si>
    <r>
      <t xml:space="preserve">die geldt </t>
    </r>
    <r>
      <rPr>
        <sz val="10"/>
        <rFont val="Arial"/>
        <family val="2"/>
      </rPr>
      <t>voor</t>
    </r>
    <r>
      <rPr>
        <sz val="10"/>
        <rFont val="Arial"/>
      </rPr>
      <t xml:space="preserve"> een bepaald criterium, des te hoger de score wordt, wat</t>
    </r>
  </si>
  <si>
    <r>
      <t>tabel 3.6 afgebeeld. Het betreft een bekend en</t>
    </r>
    <r>
      <rPr>
        <sz val="10"/>
        <color theme="1"/>
        <rFont val="Arial"/>
        <family val="2"/>
      </rPr>
      <t xml:space="preserve"> eenvoudig</t>
    </r>
    <r>
      <rPr>
        <sz val="10"/>
        <rFont val="Arial"/>
      </rPr>
      <t xml:space="preserve"> hulpmodel</t>
    </r>
  </si>
  <si>
    <r>
      <rPr>
        <b/>
        <sz val="10"/>
        <color theme="1"/>
        <rFont val="Arial"/>
        <family val="2"/>
      </rPr>
      <t>O</t>
    </r>
    <r>
      <rPr>
        <sz val="10"/>
        <color theme="1"/>
        <rFont val="Arial"/>
        <family val="2"/>
      </rPr>
      <t>pportunities</t>
    </r>
  </si>
  <si>
    <r>
      <rPr>
        <b/>
        <sz val="10"/>
        <rFont val="Arial"/>
        <family val="2"/>
      </rPr>
      <t>T</t>
    </r>
    <r>
      <rPr>
        <sz val="10"/>
        <rFont val="Arial"/>
      </rPr>
      <t>hreats</t>
    </r>
  </si>
  <si>
    <r>
      <rPr>
        <b/>
        <sz val="10"/>
        <rFont val="Arial"/>
        <family val="2"/>
      </rPr>
      <t>S</t>
    </r>
    <r>
      <rPr>
        <sz val="10"/>
        <rFont val="Arial"/>
      </rPr>
      <t>trenghts</t>
    </r>
  </si>
  <si>
    <r>
      <rPr>
        <b/>
        <sz val="10"/>
        <rFont val="Arial"/>
        <family val="2"/>
      </rPr>
      <t>W</t>
    </r>
    <r>
      <rPr>
        <sz val="10"/>
        <rFont val="Arial"/>
      </rPr>
      <t>eaknesses</t>
    </r>
  </si>
  <si>
    <r>
      <t>Stelling 2</t>
    </r>
    <r>
      <rPr>
        <sz val="10"/>
        <rFont val="Arial"/>
      </rPr>
      <t xml:space="preserve">: 'Met het Ishikawa/visgraatdiagram </t>
    </r>
    <r>
      <rPr>
        <sz val="10"/>
        <color theme="1"/>
        <rFont val="Arial"/>
        <family val="2"/>
      </rPr>
      <t>identificeert u</t>
    </r>
    <r>
      <rPr>
        <sz val="10"/>
        <rFont val="Arial"/>
      </rPr>
      <t xml:space="preserve"> een </t>
    </r>
  </si>
  <si>
    <r>
      <t xml:space="preserve">probleemveroorzaker (of meervoud) en </t>
    </r>
    <r>
      <rPr>
        <sz val="10"/>
        <color theme="1"/>
        <rFont val="Arial"/>
        <family val="2"/>
      </rPr>
      <t>kunt u</t>
    </r>
    <r>
      <rPr>
        <sz val="10"/>
        <rFont val="Arial"/>
      </rPr>
      <t xml:space="preserve"> – daarvan afgeleid – een </t>
    </r>
  </si>
  <si>
    <r>
      <t xml:space="preserve">De kengetallen van de punten C </t>
    </r>
    <r>
      <rPr>
        <sz val="10"/>
        <color theme="1"/>
        <rFont val="Arial"/>
        <family val="2"/>
      </rPr>
      <t>en</t>
    </r>
    <r>
      <rPr>
        <sz val="10"/>
        <rFont val="Arial"/>
      </rPr>
      <t xml:space="preserve"> E enerzijds en F en G anderzijds,</t>
    </r>
  </si>
  <si>
    <r>
      <rPr>
        <sz val="10"/>
        <color theme="1"/>
        <rFont val="Arial"/>
        <family val="2"/>
      </rPr>
      <t xml:space="preserve">Hoe is </t>
    </r>
    <r>
      <rPr>
        <sz val="10"/>
        <rFont val="Arial"/>
      </rPr>
      <t>de combinatie van beheersmaatregelen om het risico bij het UWV</t>
    </r>
  </si>
  <si>
    <r>
      <t>tegen te gaan</t>
    </r>
    <r>
      <rPr>
        <sz val="10"/>
        <color theme="1"/>
        <rFont val="Arial"/>
        <family val="2"/>
      </rPr>
      <t>?</t>
    </r>
  </si>
  <si>
    <r>
      <t>Een bekend hulpmiddel om</t>
    </r>
    <r>
      <rPr>
        <sz val="10"/>
        <color theme="1"/>
        <rFont val="Arial"/>
        <family val="2"/>
      </rPr>
      <t xml:space="preserve"> bijvoorbeeld </t>
    </r>
    <r>
      <rPr>
        <sz val="10"/>
        <rFont val="Arial"/>
      </rPr>
      <t>een gekozen</t>
    </r>
  </si>
  <si>
    <t>personeel. De resultaten zullen worden gemonitord via de trainer die</t>
  </si>
  <si>
    <t>beoordelingen zal geven. Die resultaten zullen tijdens functionerings-</t>
  </si>
  <si>
    <t>gesprekken aan bod komen en meewegen voor de beoordelingen. In de</t>
  </si>
  <si>
    <t>personeelsplanning en de concrete roostering zal zo veel mogelijk</t>
  </si>
  <si>
    <t xml:space="preserve">rekening worden gehouden met werkdagen en werktijden. Compensaties </t>
  </si>
  <si>
    <t xml:space="preserve">worden individueel bekeken en verstrekt. Alle trainingskosten komen voor </t>
  </si>
  <si>
    <t>onze rekening, ook de additionele die samenhangen met het personeel.</t>
  </si>
  <si>
    <r>
      <t>Stelling 1</t>
    </r>
    <r>
      <rPr>
        <sz val="10"/>
        <rFont val="Arial"/>
      </rPr>
      <t>: 'Investeren in HRM-maatregelen om het verloop onder</t>
    </r>
  </si>
  <si>
    <r>
      <t xml:space="preserve">personeel te vergroten, </t>
    </r>
    <r>
      <rPr>
        <sz val="10"/>
        <rFont val="Arial"/>
      </rPr>
      <t>brengt het ZiekteVerzuim vaak omlaag, maar dergelijke investeringen verdienen zich meestal niet terug'.</t>
    </r>
  </si>
  <si>
    <r>
      <t>Stelling 1</t>
    </r>
    <r>
      <rPr>
        <sz val="10"/>
        <rFont val="Arial"/>
      </rPr>
      <t xml:space="preserve">: 'De zogeheten Workability Index is een methode om de fysieke en geestelijke gesteldheid – en daarmee het werkvermogen – van </t>
    </r>
  </si>
  <si>
    <t>personeel te monitoren'.</t>
  </si>
  <si>
    <r>
      <rPr>
        <sz val="10"/>
        <color theme="1"/>
        <rFont val="Arial"/>
        <family val="2"/>
      </rPr>
      <t xml:space="preserve">Eén vak (het lichtgele) </t>
    </r>
    <r>
      <rPr>
        <sz val="10"/>
        <rFont val="Arial"/>
      </rPr>
      <t>is nog niet ingevuld.</t>
    </r>
  </si>
  <si>
    <r>
      <t xml:space="preserve">toepassen, </t>
    </r>
    <r>
      <rPr>
        <sz val="10"/>
        <color theme="1"/>
        <rFont val="Arial"/>
        <family val="2"/>
      </rPr>
      <t xml:space="preserve">kunt u </t>
    </r>
    <r>
      <rPr>
        <sz val="10"/>
        <rFont val="Arial"/>
      </rPr>
      <t>zien als een verandering. In dat geval brengt dat</t>
    </r>
  </si>
  <si>
    <t>Vul in beide lichtgele vakjes de ontbrekende woorden aan.</t>
  </si>
  <si>
    <r>
      <t xml:space="preserve">staat afgebeeld. Vul </t>
    </r>
    <r>
      <rPr>
        <sz val="10"/>
        <color theme="1"/>
        <rFont val="Arial"/>
        <family val="2"/>
      </rPr>
      <t>die</t>
    </r>
    <r>
      <rPr>
        <sz val="10"/>
        <rFont val="Arial"/>
      </rPr>
      <t xml:space="preserve"> in.</t>
    </r>
  </si>
  <si>
    <r>
      <rPr>
        <sz val="10"/>
        <color theme="1"/>
        <rFont val="Arial"/>
        <family val="2"/>
      </rPr>
      <t xml:space="preserve">Vul hieronder in waaraan </t>
    </r>
    <r>
      <rPr>
        <sz val="10"/>
        <rFont val="Arial"/>
      </rPr>
      <t>per definitie tijdens de aannamefase aan het</t>
    </r>
  </si>
  <si>
    <r>
      <t>Stelling 1</t>
    </r>
    <r>
      <rPr>
        <sz val="10"/>
        <rFont val="Arial"/>
      </rPr>
      <t xml:space="preserve">: 'Iemand die simpel werk heeft en dat </t>
    </r>
    <r>
      <rPr>
        <sz val="10"/>
        <color theme="1"/>
        <rFont val="Arial"/>
        <family val="2"/>
      </rPr>
      <t>moeilijk</t>
    </r>
    <r>
      <rPr>
        <sz val="10"/>
        <rFont val="Arial"/>
      </rPr>
      <t xml:space="preserve"> kan beïnvloeden,</t>
    </r>
  </si>
  <si>
    <t>Beoordelen is waarnemen, is geloven …..</t>
  </si>
  <si>
    <r>
      <t xml:space="preserve">Kruis hiernaast aan welk wijze van </t>
    </r>
    <r>
      <rPr>
        <sz val="10"/>
        <color theme="1"/>
        <rFont val="Arial"/>
        <family val="2"/>
      </rPr>
      <t>beoordelingsgesprekken voeren</t>
    </r>
    <r>
      <rPr>
        <sz val="10"/>
        <rFont val="Arial"/>
      </rPr>
      <t xml:space="preserve"> past bij wat</t>
    </r>
  </si>
  <si>
    <r>
      <t xml:space="preserve">tegenwoordig als </t>
    </r>
    <r>
      <rPr>
        <sz val="10"/>
        <color theme="1"/>
        <rFont val="Arial"/>
        <family val="2"/>
      </rPr>
      <t>de</t>
    </r>
    <r>
      <rPr>
        <sz val="10"/>
        <rFont val="Arial"/>
      </rPr>
      <t xml:space="preserve"> meest ouderwetse vorm van beoordelingsgesprek</t>
    </r>
  </si>
  <si>
    <r>
      <t xml:space="preserve">Er bestaan </t>
    </r>
    <r>
      <rPr>
        <sz val="10"/>
        <color theme="1"/>
        <rFont val="Arial"/>
        <family val="2"/>
      </rPr>
      <t xml:space="preserve">veel </t>
    </r>
    <r>
      <rPr>
        <sz val="10"/>
        <rFont val="Arial"/>
      </rPr>
      <t>soorten beoordelingsmethoden, variërend van</t>
    </r>
  </si>
  <si>
    <r>
      <rPr>
        <sz val="10"/>
        <color theme="1"/>
        <rFont val="Arial"/>
        <family val="2"/>
      </rPr>
      <t>Bij toepassing</t>
    </r>
    <r>
      <rPr>
        <sz val="10"/>
        <rFont val="Arial"/>
        <family val="2"/>
      </rPr>
      <t xml:space="preserve"> van de WMCO moeten </t>
    </r>
    <r>
      <rPr>
        <sz val="10"/>
        <color theme="1"/>
        <rFont val="Arial"/>
        <family val="2"/>
      </rPr>
      <t xml:space="preserve">de </t>
    </r>
    <r>
      <rPr>
        <sz val="10"/>
        <rFont val="Arial"/>
        <family val="2"/>
      </rPr>
      <t>ontslagselectiecriteria bekend zijn.</t>
    </r>
  </si>
  <si>
    <r>
      <t>Een OR heeft</t>
    </r>
    <r>
      <rPr>
        <sz val="10"/>
        <color theme="1"/>
        <rFont val="Arial"/>
        <family val="2"/>
      </rPr>
      <t xml:space="preserve"> bij toepassing </t>
    </r>
    <r>
      <rPr>
        <sz val="10"/>
        <rFont val="Arial"/>
        <family val="2"/>
      </rPr>
      <t>van de WMCO geen wettelijke rol.</t>
    </r>
  </si>
  <si>
    <r>
      <rPr>
        <sz val="10"/>
        <color theme="1"/>
        <rFont val="Arial"/>
        <family val="2"/>
      </rPr>
      <t xml:space="preserve">Onderneming </t>
    </r>
    <r>
      <rPr>
        <sz val="10"/>
        <rFont val="Arial"/>
        <family val="2"/>
      </rPr>
      <t>(WOVON). Kruis je antwoord aan.</t>
    </r>
  </si>
  <si>
    <r>
      <t>De WOVON is feite eenzelfde regeling als de WMCO</t>
    </r>
    <r>
      <rPr>
        <sz val="10"/>
        <color theme="1"/>
        <rFont val="Arial"/>
        <family val="2"/>
      </rPr>
      <t xml:space="preserve">, </t>
    </r>
    <r>
      <rPr>
        <sz val="10"/>
        <rFont val="Arial"/>
        <family val="2"/>
      </rPr>
      <t>maar met het verschil dat een OR dan geen rechten heeft.</t>
    </r>
  </si>
  <si>
    <r>
      <rPr>
        <sz val="10"/>
        <color theme="1"/>
        <rFont val="Arial"/>
        <family val="2"/>
      </rPr>
      <t xml:space="preserve">In geval van situaties waarbij de WOVON toepassing vindt, </t>
    </r>
    <r>
      <rPr>
        <sz val="10"/>
        <rFont val="Arial"/>
        <family val="2"/>
      </rPr>
      <t>geldt m.b.t. ontslag van werknemers in principe: niet mogelijk, tenzij….</t>
    </r>
  </si>
  <si>
    <t>op zijn werk wordt geconfronteerd, ook te beschikken over mogelijkheden</t>
  </si>
  <si>
    <t>heeft om zelfstandig werkproblemen op te lossen'.</t>
  </si>
  <si>
    <t>1. 'Het vermogen om tegenover de problemen waarmee een werknemer</t>
  </si>
  <si>
    <t>om daarmee om te gaan'. 2. 'De mate waarin een medewerker de mogelijkheid</t>
  </si>
  <si>
    <t>Deze twee definities hebben betrekking op het theoretische begrip (vul rechts in):</t>
  </si>
  <si>
    <r>
      <t xml:space="preserve">Wat nog ontbreekt is </t>
    </r>
    <r>
      <rPr>
        <b/>
        <sz val="10"/>
        <rFont val="Arial"/>
        <family val="2"/>
      </rPr>
      <t>standaardisatie</t>
    </r>
    <r>
      <rPr>
        <sz val="10"/>
        <rFont val="Arial"/>
      </rPr>
      <t xml:space="preserve"> van: …..</t>
    </r>
  </si>
  <si>
    <t>wezenlijke.                                    Vul die in in het lichtgele vakje rechts.</t>
  </si>
  <si>
    <t>Geef in de lichtgele vakjes de juiste benamingen aan waarop de</t>
  </si>
  <si>
    <t>zinnen / voorbeelden hieronder betrekking hebben.</t>
  </si>
  <si>
    <t>wordt gezien. (3 van de 5 staan aangegeven bij vraag 76 aangegeven.)</t>
  </si>
  <si>
    <t>te staan van onderstaande afbeelding, wat het cyclische aspect van de gesprekscyclus benadrukt?</t>
  </si>
  <si>
    <t>Het is dan ook riskant om hier vragen daarover op te nemen, omdat ze snel verouderd kunnen zijn.</t>
  </si>
  <si>
    <t>Kijk naar de vorige vraag (23), bij de vragen A en B. Vergelijk de</t>
  </si>
  <si>
    <t xml:space="preserve">Een medewerker wordt tijdens een werkklus betrapt op diefstal. Zijn werkgever zegt dat hij op </t>
  </si>
  <si>
    <t>staande voet ontslagen wordt. De medewerker baalt, maar maakt nog wel – heel netjes – zijn</t>
  </si>
  <si>
    <t xml:space="preserve">werkklus die dag af. De werkgever is daar wel blij mee, maar houdt wel voet bij stuk dat de </t>
  </si>
  <si>
    <t>medewerker zijn ontslag op staande voet heeft gekregen.</t>
  </si>
  <si>
    <t>De werknemer had anders verwacht en is erg teleurgesteld.</t>
  </si>
  <si>
    <r>
      <t>Stelling 1</t>
    </r>
    <r>
      <rPr>
        <sz val="10"/>
        <rFont val="Arial"/>
      </rPr>
      <t xml:space="preserve">: 'In het kader van het onderwerp leidinggeven houdt "structuur-initiatie" in dat een leidinggevende in staat is om duidelijkheid te schetsen over en ordening aan te brengen in zowel zijn eigen rol </t>
    </r>
    <r>
      <rPr>
        <sz val="10"/>
        <color theme="1"/>
        <rFont val="Arial"/>
        <family val="2"/>
      </rPr>
      <t>als de</t>
    </r>
  </si>
  <si>
    <r>
      <rPr>
        <sz val="10"/>
        <color theme="1"/>
        <rFont val="Arial"/>
        <family val="2"/>
      </rPr>
      <t xml:space="preserve">Middle </t>
    </r>
    <r>
      <rPr>
        <sz val="10"/>
        <rFont val="Arial"/>
      </rPr>
      <t>of the road</t>
    </r>
  </si>
  <si>
    <t>*</t>
  </si>
  <si>
    <r>
      <t xml:space="preserve">Enkele </t>
    </r>
    <r>
      <rPr>
        <sz val="10"/>
        <color theme="1"/>
        <rFont val="Arial"/>
        <family val="2"/>
      </rPr>
      <t xml:space="preserve">stellingen </t>
    </r>
    <r>
      <rPr>
        <sz val="10"/>
        <rFont val="Arial"/>
      </rPr>
      <t>omtrent de Flexwet (kruis het juiste antwoord aan):</t>
    </r>
  </si>
  <si>
    <r>
      <t>Stelling 1: '</t>
    </r>
    <r>
      <rPr>
        <sz val="10"/>
        <rFont val="Arial"/>
      </rPr>
      <t>Primaire arbeidsvoorwaarden worden in cao's vastgelegd, maar gelden niet voor alle organisaties maar voo</t>
    </r>
    <r>
      <rPr>
        <sz val="10"/>
        <rFont val="Arial"/>
        <family val="2"/>
      </rPr>
      <t>r</t>
    </r>
    <r>
      <rPr>
        <b/>
        <sz val="10"/>
        <rFont val="Arial"/>
        <family val="2"/>
      </rPr>
      <t xml:space="preserve"> </t>
    </r>
    <r>
      <rPr>
        <sz val="10"/>
        <rFont val="Arial"/>
      </rPr>
      <t xml:space="preserve">organisaties </t>
    </r>
  </si>
  <si>
    <t>per bedrijfstak'.</t>
  </si>
  <si>
    <r>
      <t xml:space="preserve">De </t>
    </r>
    <r>
      <rPr>
        <sz val="10"/>
        <color theme="1"/>
        <rFont val="Arial"/>
        <family val="2"/>
      </rPr>
      <t>Inspectie SZW</t>
    </r>
    <r>
      <rPr>
        <sz val="10"/>
        <rFont val="Arial"/>
      </rPr>
      <t xml:space="preserve"> hanteert o.a. de ARBO-catalogi als toetskader.</t>
    </r>
  </si>
  <si>
    <r>
      <t xml:space="preserve">De </t>
    </r>
    <r>
      <rPr>
        <sz val="10"/>
        <color theme="1"/>
        <rFont val="Arial"/>
        <family val="2"/>
      </rPr>
      <t xml:space="preserve">Inspectie SZW </t>
    </r>
    <r>
      <rPr>
        <sz val="10"/>
        <rFont val="Arial"/>
      </rPr>
      <t xml:space="preserve">heeft geen direct handhavingsmaatregelen voorhanden; </t>
    </r>
  </si>
  <si>
    <r>
      <t xml:space="preserve">de inspectiepunten van de </t>
    </r>
    <r>
      <rPr>
        <sz val="10"/>
        <color theme="1"/>
        <rFont val="Arial"/>
        <family val="2"/>
      </rPr>
      <t>Inspectie SZW.</t>
    </r>
  </si>
  <si>
    <r>
      <t xml:space="preserve">Tegen een besluit van de </t>
    </r>
    <r>
      <rPr>
        <sz val="10"/>
        <color theme="1"/>
        <rFont val="Arial"/>
        <family val="2"/>
      </rPr>
      <t>Inspectie SZW</t>
    </r>
    <r>
      <rPr>
        <sz val="10"/>
        <rFont val="Arial"/>
      </rPr>
      <t xml:space="preserve"> kan men in beroep gaan bij het</t>
    </r>
  </si>
  <si>
    <t>De Wet verbetering poortwachter is een typische voorbeeld</t>
  </si>
  <si>
    <t>van een wet waar een doorsnee lijnmanager direct en vaak</t>
  </si>
  <si>
    <t>mee te maken krijgt in geval van arbeidsongeschikte werknemers.</t>
  </si>
  <si>
    <t>De SMART-formule is erg bekend en waardevol. Hieronder staat een definitie</t>
  </si>
  <si>
    <t>waar de hoofdletters van die formule voor staan. Daar zit echter één fout in.</t>
  </si>
  <si>
    <t>Hiernaast staan m.b.t. ZiekteVerzuim kostenposten die via de zogeheten</t>
  </si>
  <si>
    <t>Activity Based Costing-methode te kwantificeren zijn.</t>
  </si>
  <si>
    <t>uitdrukken in financiële ken- en stuurgetallen?'</t>
  </si>
  <si>
    <t>hoe vaak een organisatie een klant "nee" wil verkopen'.</t>
  </si>
  <si>
    <t>Het functieprofiel komt voort uit een zogeheten functiekarakteristiek die op haar beurt</t>
  </si>
  <si>
    <t>Sollicitatie</t>
  </si>
  <si>
    <t>te voeren op een zo laag mogelijk, decentraal niveau".</t>
  </si>
  <si>
    <t>Geef hieronder met een steekwoord aan wat een geschikt personeelsdoel bevat.</t>
  </si>
  <si>
    <r>
      <t>Stelling 2</t>
    </r>
    <r>
      <rPr>
        <sz val="10"/>
        <rFont val="Arial"/>
      </rPr>
      <t>: 'Het 'aantrekken' van medewerkers is vooral mogelijk door</t>
    </r>
  </si>
  <si>
    <t>resultaatafhankelijk belonen bleek te betreffen.'</t>
  </si>
  <si>
    <t>moet invullen, dan valt die manier onder de noemer:</t>
  </si>
  <si>
    <t>Als de beoordelaar uit vooraf vastgelegde uitspraken moet kiezen</t>
  </si>
  <si>
    <r>
      <t>Stelling 1</t>
    </r>
    <r>
      <rPr>
        <sz val="10"/>
        <rFont val="Arial"/>
      </rPr>
      <t>: 'Over het algemeen hebben beoordelaars de neiging om bij beoordeling te kiezen voor "het veilige midden.</t>
    </r>
  </si>
  <si>
    <t>toekwam, zij dat deden vanuit de verwachting dat dat motiverend werkt.'</t>
  </si>
  <si>
    <t>is een van de doelen: optimalisatie van de afstemming van taken en werkzaamheden.'</t>
  </si>
  <si>
    <r>
      <t>Stelling 1</t>
    </r>
    <r>
      <rPr>
        <sz val="10"/>
        <rFont val="Arial"/>
      </rPr>
      <t>:  'Medewerkers jonger dan 20 jaar hebben minder klachten aan het bewegingsapparaat dan medewerkers boven de 50 jaar.'</t>
    </r>
  </si>
  <si>
    <t>hoger dan in de horecasector.'</t>
  </si>
  <si>
    <t>indicatoren met betrekking tot kritische succesfactoren.'</t>
  </si>
  <si>
    <t>voor afhandeling bij de front-office/balie.'</t>
  </si>
  <si>
    <t>tijdsbestek.'</t>
  </si>
  <si>
    <r>
      <t>Stelling 1</t>
    </r>
    <r>
      <rPr>
        <sz val="10"/>
        <rFont val="Arial"/>
      </rPr>
      <t>: 'Human Resource Accounting (HRA) is in feite te zien als een specifieke, op HRM gefocuste vorm van performancemanagement.'</t>
    </r>
  </si>
  <si>
    <t>tamelijk populaire HR-scorecard.'</t>
  </si>
  <si>
    <r>
      <t>Stelling 2</t>
    </r>
    <r>
      <rPr>
        <sz val="10"/>
        <rFont val="Arial"/>
      </rPr>
      <t xml:space="preserve">: 'Outplacement is een HRM-instrument dat specifiek bedoeld is </t>
    </r>
  </si>
  <si>
    <t>voor disfunctionerende medewerkers.'</t>
  </si>
  <si>
    <r>
      <t>Stelling 1</t>
    </r>
    <r>
      <rPr>
        <sz val="10"/>
        <rFont val="Arial"/>
      </rPr>
      <t>: 'Outplacement is een HRM-instrument dat niet per definitie op uitstroming gericht hoeft te zijn.'</t>
    </r>
  </si>
  <si>
    <r>
      <t>Stelling 1</t>
    </r>
    <r>
      <rPr>
        <sz val="10"/>
        <rFont val="Arial"/>
      </rPr>
      <t>: 'Detachering is een HRM-instrument dat niet per definitie op uitstroming gericht hoeft te zijn.'</t>
    </r>
  </si>
  <si>
    <t>in het kader van loopbaanoriëntering of als onderdeel van outplacement.'</t>
  </si>
  <si>
    <t>rol van zijn ondergeschikten bij het bereiken van bepaalde doelen.'</t>
  </si>
  <si>
    <t>bepaalde doelstellingen.'</t>
  </si>
  <si>
    <t xml:space="preserve">Quinn vat samen dat het er m.b.t. leidinggeven in feite op neerkomt </t>
  </si>
  <si>
    <r>
      <t>Stelling 1</t>
    </r>
    <r>
      <rPr>
        <sz val="10"/>
        <rFont val="Arial"/>
      </rPr>
      <t>: 'Volgens onderzoeken achten leidinggevenden zichzelf over het algemeen meer resultaatgericht dan persoonsgericht.'</t>
    </r>
  </si>
  <si>
    <t>[NB: dit model zit NIET in de 3e druk van het leerboek!]</t>
  </si>
  <si>
    <t>[NB: dit model zit NIET in het leerboek!]</t>
  </si>
  <si>
    <t>WETTEN/REGELS KUNNEN ONDERTUSSEN ZIJN AANGEPAST!</t>
  </si>
  <si>
    <t>op de factor personeel richt, richt zij zich in feite automatisch ook op de organisatiecultuur'.</t>
  </si>
  <si>
    <t>A. Ontwikkel-</t>
  </si>
  <si>
    <t>B. Ontwikkel-</t>
  </si>
  <si>
    <t>C. Ontwikkel-</t>
  </si>
  <si>
    <r>
      <t>Stelling 1</t>
    </r>
    <r>
      <rPr>
        <sz val="10"/>
        <rFont val="Arial"/>
      </rPr>
      <t>: 'Voorbeelden van "employee benefits" zijn collectieve</t>
    </r>
  </si>
  <si>
    <r>
      <t>Stelling 1</t>
    </r>
    <r>
      <rPr>
        <sz val="10"/>
        <rFont val="Arial"/>
      </rPr>
      <t>: '</t>
    </r>
    <r>
      <rPr>
        <u/>
        <sz val="10"/>
        <rFont val="Arial"/>
        <family val="2"/>
      </rPr>
      <t xml:space="preserve">Werkoverleg </t>
    </r>
    <r>
      <rPr>
        <sz val="10"/>
        <rFont val="Arial"/>
      </rPr>
      <t>is het geïnternaliseerde overleg in een team waaruit de leden intrinsieke motivatie verkrijgen.'</t>
    </r>
  </si>
  <si>
    <t>voor de performance.'</t>
  </si>
  <si>
    <r>
      <t>Stelling 1</t>
    </r>
    <r>
      <rPr>
        <sz val="10"/>
        <rFont val="Arial"/>
      </rPr>
      <t xml:space="preserve">: 'Performancemanagement en HRM zijn met elkaar verbonden in die zin dat de HR de belangrijkste bron is van een organisatie die zorgt </t>
    </r>
  </si>
  <si>
    <t>Te democratisch (lassez faire)</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</si>
</sst>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39" x14ac:knownFonts="1">
    <font>
      <sz val="10"/>
      <name val="Arial"/>
    </font>
    <font>
      <sz val="10"/>
      <name val="Arial"/>
    </font>
    <font>
      <sz val="8"/>
      <name val="Arial"/>
    </font>
    <font>
      <sz val="16"/>
      <name val="Arial"/>
    </font>
    <font>
      <b/>
      <sz val="10"/>
      <name val="Arial"/>
      <family val="2"/>
    </font>
    <font>
      <b/>
      <u/>
      <sz val="10"/>
      <name val="Arial"/>
      <family val="2"/>
    </font>
    <font>
      <sz val="10"/>
      <name val="Arial"/>
      <family val="2"/>
    </font>
    <font>
      <sz val="14"/>
      <name val="Arial"/>
    </font>
    <font>
      <sz val="12"/>
      <name val="Arial"/>
    </font>
    <font>
      <b/>
      <sz val="12"/>
      <name val="Arial"/>
      <family val="2"/>
    </font>
    <font>
      <i/>
      <sz val="10"/>
      <name val="Arial"/>
      <family val="2"/>
    </font>
    <font>
      <sz val="10"/>
      <color indexed="9"/>
      <name val="Arial"/>
    </font>
    <font>
      <b/>
      <i/>
      <sz val="10"/>
      <name val="Arial"/>
      <family val="2"/>
    </font>
    <font>
      <b/>
      <sz val="10"/>
      <color indexed="81"/>
      <name val="Tahoma"/>
    </font>
    <font>
      <sz val="10"/>
      <color indexed="13"/>
      <name val="Arial"/>
    </font>
    <font>
      <sz val="9"/>
      <name val="Arial"/>
    </font>
    <font>
      <u/>
      <sz val="10"/>
      <color indexed="12"/>
      <name val="Arial"/>
    </font>
    <font>
      <sz val="10"/>
      <name val="Times New Roman"/>
      <family val="1"/>
    </font>
    <font>
      <sz val="8"/>
      <color indexed="22"/>
      <name val="Arial"/>
    </font>
    <font>
      <u/>
      <sz val="8"/>
      <color indexed="12"/>
      <name val="Arial"/>
    </font>
    <font>
      <b/>
      <u/>
      <sz val="10"/>
      <color indexed="12"/>
      <name val="Arial"/>
      <family val="2"/>
    </font>
    <font>
      <b/>
      <u/>
      <sz val="14"/>
      <color indexed="12"/>
      <name val="Arial"/>
      <family val="2"/>
    </font>
    <font>
      <sz val="10"/>
      <color indexed="12"/>
      <name val="Arial"/>
    </font>
    <font>
      <u/>
      <sz val="10"/>
      <color indexed="22"/>
      <name val="Arial"/>
    </font>
    <font>
      <u/>
      <sz val="10"/>
      <name val="Arial"/>
    </font>
    <font>
      <u/>
      <sz val="10"/>
      <color indexed="55"/>
      <name val="Arial"/>
    </font>
    <font>
      <u/>
      <sz val="10"/>
      <color indexed="12"/>
      <name val="Arial"/>
      <family val="2"/>
    </font>
    <font>
      <sz val="10"/>
      <color rgb="FFFFFF00"/>
      <name val="Arial"/>
      <family val="2"/>
    </font>
    <font>
      <i/>
      <sz val="10"/>
      <color theme="0"/>
      <name val="Arial"/>
      <family val="2"/>
    </font>
    <font>
      <u/>
      <sz val="8"/>
      <color indexed="12"/>
      <name val="Arial"/>
      <family val="2"/>
    </font>
    <font>
      <sz val="10"/>
      <color rgb="FFFF0000"/>
      <name val="Arial"/>
    </font>
    <font>
      <i/>
      <sz val="10"/>
      <color rgb="FFFF0000"/>
      <name val="Arial"/>
    </font>
    <font>
      <i/>
      <sz val="10"/>
      <color indexed="13"/>
      <name val="Arial"/>
    </font>
    <font>
      <i/>
      <sz val="10"/>
      <color rgb="FFFFFF00"/>
      <name val="Arial"/>
      <family val="2"/>
    </font>
    <font>
      <sz val="10"/>
      <color theme="1"/>
      <name val="Arial"/>
      <family val="2"/>
    </font>
    <font>
      <b/>
      <sz val="10"/>
      <color theme="1"/>
      <name val="Arial"/>
      <family val="2"/>
    </font>
    <font>
      <sz val="10"/>
      <color indexed="13"/>
      <name val="Arial"/>
      <family val="2"/>
    </font>
    <font>
      <sz val="10"/>
      <color rgb="FFFF3300"/>
      <name val="Arial"/>
      <family val="2"/>
    </font>
    <font>
      <u/>
      <sz val="10"/>
      <name val="Arial"/>
      <family val="2"/>
    </font>
  </fonts>
  <fills count="15">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22"/>
        <bgColor indexed="64"/>
      </patternFill>
    </fill>
    <fill>
      <patternFill patternType="solid">
        <fgColor indexed="10"/>
        <bgColor indexed="64"/>
      </patternFill>
    </fill>
    <fill>
      <patternFill patternType="solid">
        <fgColor indexed="11"/>
        <bgColor indexed="64"/>
      </patternFill>
    </fill>
    <fill>
      <patternFill patternType="solid">
        <fgColor indexed="15"/>
        <bgColor indexed="64"/>
      </patternFill>
    </fill>
    <fill>
      <patternFill patternType="solid">
        <fgColor indexed="8"/>
        <bgColor indexed="64"/>
      </patternFill>
    </fill>
    <fill>
      <patternFill patternType="solid">
        <fgColor indexed="63"/>
        <bgColor indexed="64"/>
      </patternFill>
    </fill>
    <fill>
      <patternFill patternType="solid">
        <fgColor theme="0"/>
        <bgColor indexed="64"/>
      </patternFill>
    </fill>
    <fill>
      <patternFill patternType="solid">
        <fgColor rgb="FFFFFFCC"/>
        <bgColor indexed="64"/>
      </patternFill>
    </fill>
    <fill>
      <patternFill patternType="solid">
        <fgColor rgb="FFFFFF00"/>
        <bgColor indexed="64"/>
      </patternFill>
    </fill>
    <fill>
      <patternFill patternType="solid">
        <fgColor theme="1" tint="4.9989318521683403E-2"/>
        <bgColor indexed="64"/>
      </patternFill>
    </fill>
    <fill>
      <patternFill patternType="solid">
        <fgColor theme="1"/>
        <bgColor indexed="64"/>
      </patternFill>
    </fill>
  </fills>
  <borders count="122">
    <border>
      <left/>
      <right/>
      <top/>
      <bottom/>
      <diagonal/>
    </border>
    <border>
      <left style="thin">
        <color auto="1"/>
      </left>
      <right style="thin">
        <color auto="1"/>
      </right>
      <top style="thin">
        <color auto="1"/>
      </top>
      <bottom style="thin">
        <color auto="1"/>
      </bottom>
      <diagonal/>
    </border>
    <border>
      <left style="thin">
        <color auto="1"/>
      </left>
      <right style="thick">
        <color auto="1"/>
      </right>
      <top style="thin">
        <color auto="1"/>
      </top>
      <bottom style="thin">
        <color auto="1"/>
      </bottom>
      <diagonal/>
    </border>
    <border>
      <left style="thin">
        <color auto="1"/>
      </left>
      <right style="thick">
        <color auto="1"/>
      </right>
      <top style="double">
        <color auto="1"/>
      </top>
      <bottom style="thin">
        <color auto="1"/>
      </bottom>
      <diagonal/>
    </border>
    <border>
      <left style="thin">
        <color auto="1"/>
      </left>
      <right style="thin">
        <color auto="1"/>
      </right>
      <top style="thin">
        <color auto="1"/>
      </top>
      <bottom/>
      <diagonal/>
    </border>
    <border>
      <left style="thin">
        <color auto="1"/>
      </left>
      <right style="thick">
        <color auto="1"/>
      </right>
      <top style="thin">
        <color auto="1"/>
      </top>
      <bottom/>
      <diagonal/>
    </border>
    <border>
      <left style="hair">
        <color auto="1"/>
      </left>
      <right style="hair">
        <color auto="1"/>
      </right>
      <top style="hair">
        <color auto="1"/>
      </top>
      <bottom style="hair">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ck">
        <color auto="1"/>
      </bottom>
      <diagonal/>
    </border>
    <border>
      <left style="thick">
        <color auto="1"/>
      </left>
      <right style="thin">
        <color auto="1"/>
      </right>
      <top style="double">
        <color auto="1"/>
      </top>
      <bottom style="thin">
        <color auto="1"/>
      </bottom>
      <diagonal/>
    </border>
    <border>
      <left style="thick">
        <color auto="1"/>
      </left>
      <right style="thin">
        <color auto="1"/>
      </right>
      <top style="thin">
        <color auto="1"/>
      </top>
      <bottom style="thin">
        <color auto="1"/>
      </bottom>
      <diagonal/>
    </border>
    <border>
      <left style="thin">
        <color auto="1"/>
      </left>
      <right style="thin">
        <color auto="1"/>
      </right>
      <top style="double">
        <color auto="1"/>
      </top>
      <bottom style="thin">
        <color auto="1"/>
      </bottom>
      <diagonal/>
    </border>
    <border>
      <left style="thin">
        <color auto="1"/>
      </left>
      <right style="thin">
        <color auto="1"/>
      </right>
      <top style="thin">
        <color auto="1"/>
      </top>
      <bottom style="double">
        <color auto="1"/>
      </bottom>
      <diagonal/>
    </border>
    <border>
      <left style="thin">
        <color auto="1"/>
      </left>
      <right/>
      <top style="thin">
        <color auto="1"/>
      </top>
      <bottom style="thick">
        <color auto="1"/>
      </bottom>
      <diagonal/>
    </border>
    <border>
      <left/>
      <right style="thin">
        <color auto="1"/>
      </right>
      <top style="thin">
        <color auto="1"/>
      </top>
      <bottom style="thick">
        <color auto="1"/>
      </bottom>
      <diagonal/>
    </border>
    <border>
      <left style="thin">
        <color auto="1"/>
      </left>
      <right/>
      <top style="thick">
        <color auto="1"/>
      </top>
      <bottom/>
      <diagonal/>
    </border>
    <border>
      <left/>
      <right/>
      <top style="thin">
        <color auto="1"/>
      </top>
      <bottom/>
      <diagonal/>
    </border>
    <border>
      <left style="thin">
        <color auto="1"/>
      </left>
      <right/>
      <top style="thin">
        <color auto="1"/>
      </top>
      <bottom style="thin">
        <color auto="1"/>
      </bottom>
      <diagonal/>
    </border>
    <border>
      <left style="thick">
        <color auto="1"/>
      </left>
      <right style="thick">
        <color auto="1"/>
      </right>
      <top style="thick">
        <color auto="1"/>
      </top>
      <bottom style="thick">
        <color auto="1"/>
      </bottom>
      <diagonal/>
    </border>
    <border>
      <left style="thin">
        <color auto="1"/>
      </left>
      <right style="thin">
        <color auto="1"/>
      </right>
      <top/>
      <bottom/>
      <diagonal/>
    </border>
    <border>
      <left style="thin">
        <color auto="1"/>
      </left>
      <right style="thin">
        <color auto="1"/>
      </right>
      <top style="thick">
        <color auto="1"/>
      </top>
      <bottom style="thin">
        <color auto="1"/>
      </bottom>
      <diagonal/>
    </border>
    <border>
      <left style="thin">
        <color auto="1"/>
      </left>
      <right/>
      <top style="thin">
        <color auto="1"/>
      </top>
      <bottom/>
      <diagonal/>
    </border>
    <border>
      <left style="thin">
        <color auto="1"/>
      </left>
      <right/>
      <top style="double">
        <color auto="1"/>
      </top>
      <bottom style="thin">
        <color auto="1"/>
      </bottom>
      <diagonal/>
    </border>
    <border>
      <left style="thin">
        <color auto="1"/>
      </left>
      <right/>
      <top/>
      <bottom/>
      <diagonal/>
    </border>
    <border>
      <left/>
      <right style="thin">
        <color auto="1"/>
      </right>
      <top style="thin">
        <color auto="1"/>
      </top>
      <bottom/>
      <diagonal/>
    </border>
    <border>
      <left/>
      <right style="thin">
        <color auto="1"/>
      </right>
      <top/>
      <bottom/>
      <diagonal/>
    </border>
    <border>
      <left/>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style="thin">
        <color auto="1"/>
      </left>
      <right style="thick">
        <color auto="1"/>
      </right>
      <top/>
      <bottom style="thin">
        <color auto="1"/>
      </bottom>
      <diagonal/>
    </border>
    <border>
      <left style="double">
        <color auto="1"/>
      </left>
      <right style="double">
        <color auto="1"/>
      </right>
      <top style="double">
        <color auto="1"/>
      </top>
      <bottom style="double">
        <color auto="1"/>
      </bottom>
      <diagonal/>
    </border>
    <border>
      <left style="thick">
        <color auto="1"/>
      </left>
      <right/>
      <top style="thin">
        <color auto="1"/>
      </top>
      <bottom/>
      <diagonal/>
    </border>
    <border>
      <left style="thin">
        <color auto="1"/>
      </left>
      <right/>
      <top style="thick">
        <color auto="1"/>
      </top>
      <bottom style="thin">
        <color auto="1"/>
      </bottom>
      <diagonal/>
    </border>
    <border>
      <left style="thick">
        <color auto="1"/>
      </left>
      <right style="thin">
        <color auto="1"/>
      </right>
      <top style="thin">
        <color auto="1"/>
      </top>
      <bottom/>
      <diagonal/>
    </border>
    <border>
      <left style="thin">
        <color auto="1"/>
      </left>
      <right/>
      <top/>
      <bottom style="thin">
        <color auto="1"/>
      </bottom>
      <diagonal/>
    </border>
    <border>
      <left style="thick">
        <color auto="1"/>
      </left>
      <right/>
      <top/>
      <bottom style="thin">
        <color auto="1"/>
      </bottom>
      <diagonal/>
    </border>
    <border>
      <left style="thick">
        <color auto="1"/>
      </left>
      <right style="thin">
        <color auto="1"/>
      </right>
      <top/>
      <bottom style="thin">
        <color auto="1"/>
      </bottom>
      <diagonal/>
    </border>
    <border>
      <left style="thick">
        <color auto="1"/>
      </left>
      <right/>
      <top style="thin">
        <color auto="1"/>
      </top>
      <bottom style="thin">
        <color auto="1"/>
      </bottom>
      <diagonal/>
    </border>
    <border>
      <left/>
      <right style="thick">
        <color auto="1"/>
      </right>
      <top style="thin">
        <color auto="1"/>
      </top>
      <bottom style="thin">
        <color auto="1"/>
      </bottom>
      <diagonal/>
    </border>
    <border>
      <left/>
      <right style="thin">
        <color auto="1"/>
      </right>
      <top style="thick">
        <color auto="1"/>
      </top>
      <bottom/>
      <diagonal/>
    </border>
    <border>
      <left style="thick">
        <color auto="1"/>
      </left>
      <right style="thin">
        <color auto="1"/>
      </right>
      <top/>
      <bottom/>
      <diagonal/>
    </border>
    <border>
      <left style="thick">
        <color auto="1"/>
      </left>
      <right style="thin">
        <color auto="1"/>
      </right>
      <top/>
      <bottom style="thick">
        <color auto="1"/>
      </bottom>
      <diagonal/>
    </border>
    <border>
      <left style="thin">
        <color auto="1"/>
      </left>
      <right style="thin">
        <color auto="1"/>
      </right>
      <top/>
      <bottom style="thick">
        <color auto="1"/>
      </bottom>
      <diagonal/>
    </border>
    <border>
      <left style="thick">
        <color auto="1"/>
      </left>
      <right/>
      <top style="thick">
        <color auto="1"/>
      </top>
      <bottom style="thin">
        <color auto="1"/>
      </bottom>
      <diagonal/>
    </border>
    <border>
      <left style="thick">
        <color auto="1"/>
      </left>
      <right style="thin">
        <color auto="1"/>
      </right>
      <top style="thick">
        <color auto="1"/>
      </top>
      <bottom style="thin">
        <color auto="1"/>
      </bottom>
      <diagonal/>
    </border>
    <border>
      <left style="thick">
        <color auto="1"/>
      </left>
      <right style="thick">
        <color auto="1"/>
      </right>
      <top/>
      <bottom/>
      <diagonal/>
    </border>
    <border>
      <left style="thick">
        <color auto="1"/>
      </left>
      <right style="thick">
        <color auto="1"/>
      </right>
      <top style="thick">
        <color auto="1"/>
      </top>
      <bottom/>
      <diagonal/>
    </border>
    <border>
      <left style="thin">
        <color auto="1"/>
      </left>
      <right style="thin">
        <color auto="1"/>
      </right>
      <top style="thick">
        <color auto="1"/>
      </top>
      <bottom/>
      <diagonal/>
    </border>
    <border>
      <left style="thick">
        <color auto="1"/>
      </left>
      <right/>
      <top style="thick">
        <color auto="1"/>
      </top>
      <bottom/>
      <diagonal/>
    </border>
    <border>
      <left style="thick">
        <color auto="1"/>
      </left>
      <right/>
      <top/>
      <bottom/>
      <diagonal/>
    </border>
    <border>
      <left style="thick">
        <color auto="1"/>
      </left>
      <right/>
      <top/>
      <bottom style="thick">
        <color auto="1"/>
      </bottom>
      <diagonal/>
    </border>
    <border>
      <left style="thick">
        <color auto="1"/>
      </left>
      <right style="thick">
        <color auto="1"/>
      </right>
      <top/>
      <bottom style="thick">
        <color auto="1"/>
      </bottom>
      <diagonal/>
    </border>
    <border>
      <left style="thick">
        <color auto="1"/>
      </left>
      <right/>
      <top style="dotted">
        <color auto="1"/>
      </top>
      <bottom style="dotted">
        <color auto="1"/>
      </bottom>
      <diagonal/>
    </border>
    <border>
      <left style="thick">
        <color auto="1"/>
      </left>
      <right style="thick">
        <color auto="1"/>
      </right>
      <top style="dotted">
        <color auto="1"/>
      </top>
      <bottom style="dotted">
        <color auto="1"/>
      </bottom>
      <diagonal/>
    </border>
    <border>
      <left style="dotted">
        <color auto="1"/>
      </left>
      <right style="dotted">
        <color auto="1"/>
      </right>
      <top/>
      <bottom/>
      <diagonal/>
    </border>
    <border>
      <left/>
      <right/>
      <top style="dotted">
        <color auto="1"/>
      </top>
      <bottom style="dotted">
        <color auto="1"/>
      </bottom>
      <diagonal/>
    </border>
    <border>
      <left style="thin">
        <color auto="1"/>
      </left>
      <right style="thick">
        <color auto="1"/>
      </right>
      <top style="thick">
        <color auto="1"/>
      </top>
      <bottom style="thin">
        <color auto="1"/>
      </bottom>
      <diagonal/>
    </border>
    <border>
      <left style="thick">
        <color auto="1"/>
      </left>
      <right style="thin">
        <color auto="1"/>
      </right>
      <top style="thin">
        <color auto="1"/>
      </top>
      <bottom style="thick">
        <color auto="1"/>
      </bottom>
      <diagonal/>
    </border>
    <border>
      <left style="thin">
        <color auto="1"/>
      </left>
      <right style="thick">
        <color auto="1"/>
      </right>
      <top style="thin">
        <color auto="1"/>
      </top>
      <bottom style="thick">
        <color auto="1"/>
      </bottom>
      <diagonal/>
    </border>
    <border>
      <left style="thick">
        <color auto="1"/>
      </left>
      <right style="thin">
        <color auto="1"/>
      </right>
      <top style="thick">
        <color auto="1"/>
      </top>
      <bottom/>
      <diagonal/>
    </border>
    <border>
      <left/>
      <right/>
      <top/>
      <bottom style="thick">
        <color auto="1"/>
      </bottom>
      <diagonal/>
    </border>
    <border>
      <left style="thin">
        <color auto="1"/>
      </left>
      <right style="thin">
        <color auto="1"/>
      </right>
      <top style="double">
        <color auto="1"/>
      </top>
      <bottom/>
      <diagonal/>
    </border>
    <border>
      <left/>
      <right style="double">
        <color auto="1"/>
      </right>
      <top style="double">
        <color auto="1"/>
      </top>
      <bottom style="double">
        <color auto="1"/>
      </bottom>
      <diagonal/>
    </border>
    <border>
      <left style="double">
        <color auto="1"/>
      </left>
      <right/>
      <top style="double">
        <color auto="1"/>
      </top>
      <bottom style="double">
        <color auto="1"/>
      </bottom>
      <diagonal/>
    </border>
    <border>
      <left style="dotted">
        <color auto="1"/>
      </left>
      <right/>
      <top style="dotted">
        <color auto="1"/>
      </top>
      <bottom style="dotted">
        <color auto="1"/>
      </bottom>
      <diagonal/>
    </border>
    <border>
      <left/>
      <right style="dotted">
        <color auto="1"/>
      </right>
      <top style="dotted">
        <color auto="1"/>
      </top>
      <bottom style="dotted">
        <color auto="1"/>
      </bottom>
      <diagonal/>
    </border>
    <border>
      <left style="dotted">
        <color auto="1"/>
      </left>
      <right style="dotted">
        <color auto="1"/>
      </right>
      <top style="dotted">
        <color auto="1"/>
      </top>
      <bottom style="dotted">
        <color auto="1"/>
      </bottom>
      <diagonal/>
    </border>
    <border>
      <left style="thin">
        <color auto="1"/>
      </left>
      <right style="double">
        <color auto="1"/>
      </right>
      <top style="thin">
        <color auto="1"/>
      </top>
      <bottom/>
      <diagonal/>
    </border>
    <border>
      <left style="double">
        <color auto="1"/>
      </left>
      <right style="thin">
        <color auto="1"/>
      </right>
      <top style="thin">
        <color auto="1"/>
      </top>
      <bottom/>
      <diagonal/>
    </border>
    <border>
      <left style="thin">
        <color auto="1"/>
      </left>
      <right style="double">
        <color auto="1"/>
      </right>
      <top/>
      <bottom/>
      <diagonal/>
    </border>
    <border>
      <left style="double">
        <color auto="1"/>
      </left>
      <right style="thin">
        <color auto="1"/>
      </right>
      <top/>
      <bottom/>
      <diagonal/>
    </border>
    <border>
      <left style="thin">
        <color auto="1"/>
      </left>
      <right style="double">
        <color auto="1"/>
      </right>
      <top/>
      <bottom style="thick">
        <color auto="1"/>
      </bottom>
      <diagonal/>
    </border>
    <border>
      <left style="double">
        <color auto="1"/>
      </left>
      <right style="thin">
        <color auto="1"/>
      </right>
      <top/>
      <bottom style="thick">
        <color auto="1"/>
      </bottom>
      <diagonal/>
    </border>
    <border>
      <left style="thin">
        <color auto="1"/>
      </left>
      <right style="thick">
        <color auto="1"/>
      </right>
      <top style="thin">
        <color auto="1"/>
      </top>
      <bottom style="double">
        <color auto="1"/>
      </bottom>
      <diagonal/>
    </border>
    <border>
      <left/>
      <right style="thin">
        <color auto="1"/>
      </right>
      <top style="thick">
        <color auto="1"/>
      </top>
      <bottom style="thin">
        <color auto="1"/>
      </bottom>
      <diagonal/>
    </border>
    <border>
      <left/>
      <right/>
      <top style="thick">
        <color auto="1"/>
      </top>
      <bottom/>
      <diagonal/>
    </border>
    <border>
      <left style="double">
        <color auto="1"/>
      </left>
      <right style="thin">
        <color auto="1"/>
      </right>
      <top style="thick">
        <color auto="1"/>
      </top>
      <bottom style="thin">
        <color auto="1"/>
      </bottom>
      <diagonal/>
    </border>
    <border>
      <left style="double">
        <color auto="1"/>
      </left>
      <right style="thin">
        <color auto="1"/>
      </right>
      <top style="thin">
        <color auto="1"/>
      </top>
      <bottom style="thick">
        <color auto="1"/>
      </bottom>
      <diagonal/>
    </border>
    <border>
      <left style="dotted">
        <color auto="1"/>
      </left>
      <right style="double">
        <color auto="1"/>
      </right>
      <top style="thick">
        <color auto="1"/>
      </top>
      <bottom style="thin">
        <color auto="1"/>
      </bottom>
      <diagonal/>
    </border>
    <border>
      <left style="double">
        <color auto="1"/>
      </left>
      <right style="thin">
        <color auto="1"/>
      </right>
      <top style="thick">
        <color auto="1"/>
      </top>
      <bottom style="thick">
        <color auto="1"/>
      </bottom>
      <diagonal/>
    </border>
    <border>
      <left style="thin">
        <color auto="1"/>
      </left>
      <right/>
      <top/>
      <bottom style="thick">
        <color auto="1"/>
      </bottom>
      <diagonal/>
    </border>
    <border>
      <left style="thin">
        <color auto="1"/>
      </left>
      <right/>
      <top style="thick">
        <color auto="1"/>
      </top>
      <bottom style="thick">
        <color auto="1"/>
      </bottom>
      <diagonal/>
    </border>
    <border>
      <left/>
      <right/>
      <top style="thick">
        <color auto="1"/>
      </top>
      <bottom style="thick">
        <color auto="1"/>
      </bottom>
      <diagonal/>
    </border>
    <border>
      <left style="thin">
        <color auto="1"/>
      </left>
      <right style="thin">
        <color auto="1"/>
      </right>
      <top style="thick">
        <color auto="1"/>
      </top>
      <bottom style="thick">
        <color auto="1"/>
      </bottom>
      <diagonal/>
    </border>
    <border>
      <left/>
      <right style="thin">
        <color auto="1"/>
      </right>
      <top style="thick">
        <color auto="1"/>
      </top>
      <bottom style="thick">
        <color auto="1"/>
      </bottom>
      <diagonal/>
    </border>
    <border>
      <left/>
      <right style="thin">
        <color auto="1"/>
      </right>
      <top/>
      <bottom style="thick">
        <color auto="1"/>
      </bottom>
      <diagonal/>
    </border>
    <border>
      <left style="double">
        <color auto="1"/>
      </left>
      <right style="thin">
        <color auto="1"/>
      </right>
      <top/>
      <bottom style="thin">
        <color auto="1"/>
      </bottom>
      <diagonal/>
    </border>
    <border>
      <left style="dotted">
        <color auto="1"/>
      </left>
      <right style="double">
        <color auto="1"/>
      </right>
      <top style="thick">
        <color auto="1"/>
      </top>
      <bottom/>
      <diagonal/>
    </border>
    <border>
      <left style="dotted">
        <color auto="1"/>
      </left>
      <right style="double">
        <color auto="1"/>
      </right>
      <top/>
      <bottom style="thin">
        <color auto="1"/>
      </bottom>
      <diagonal/>
    </border>
    <border>
      <left style="double">
        <color auto="1"/>
      </left>
      <right style="thin">
        <color auto="1"/>
      </right>
      <top style="thick">
        <color auto="1"/>
      </top>
      <bottom/>
      <diagonal/>
    </border>
    <border>
      <left style="dashed">
        <color auto="1"/>
      </left>
      <right style="thin">
        <color auto="1"/>
      </right>
      <top style="thick">
        <color auto="1"/>
      </top>
      <bottom style="thin">
        <color auto="1"/>
      </bottom>
      <diagonal/>
    </border>
    <border>
      <left style="dashed">
        <color auto="1"/>
      </left>
      <right style="thin">
        <color auto="1"/>
      </right>
      <top style="thick">
        <color auto="1"/>
      </top>
      <bottom/>
      <diagonal/>
    </border>
    <border>
      <left style="thin">
        <color auto="1"/>
      </left>
      <right style="thick">
        <color auto="1"/>
      </right>
      <top style="thick">
        <color auto="1"/>
      </top>
      <bottom/>
      <diagonal/>
    </border>
    <border>
      <left style="thick">
        <color auto="1"/>
      </left>
      <right/>
      <top style="thick">
        <color auto="1"/>
      </top>
      <bottom style="thick">
        <color auto="1"/>
      </bottom>
      <diagonal/>
    </border>
    <border>
      <left style="hair">
        <color auto="1"/>
      </left>
      <right style="thick">
        <color auto="1"/>
      </right>
      <top style="thin">
        <color auto="1"/>
      </top>
      <bottom style="thin">
        <color auto="1"/>
      </bottom>
      <diagonal/>
    </border>
    <border>
      <left style="thick">
        <color auto="1"/>
      </left>
      <right style="dotted">
        <color auto="1"/>
      </right>
      <top style="thin">
        <color auto="1"/>
      </top>
      <bottom style="thin">
        <color auto="1"/>
      </bottom>
      <diagonal/>
    </border>
    <border>
      <left/>
      <right/>
      <top style="thick">
        <color auto="1"/>
      </top>
      <bottom style="thin">
        <color auto="1"/>
      </bottom>
      <diagonal/>
    </border>
    <border>
      <left/>
      <right/>
      <top style="thin">
        <color auto="1"/>
      </top>
      <bottom style="thick">
        <color auto="1"/>
      </bottom>
      <diagonal/>
    </border>
    <border>
      <left style="double">
        <color auto="1"/>
      </left>
      <right/>
      <top style="thin">
        <color auto="1"/>
      </top>
      <bottom style="thick">
        <color auto="1"/>
      </bottom>
      <diagonal/>
    </border>
    <border>
      <left style="double">
        <color auto="1"/>
      </left>
      <right/>
      <top style="thick">
        <color auto="1"/>
      </top>
      <bottom/>
      <diagonal/>
    </border>
    <border>
      <left style="double">
        <color auto="1"/>
      </left>
      <right/>
      <top/>
      <bottom/>
      <diagonal/>
    </border>
    <border>
      <left style="double">
        <color auto="1"/>
      </left>
      <right/>
      <top style="thin">
        <color auto="1"/>
      </top>
      <bottom/>
      <diagonal/>
    </border>
    <border>
      <left style="double">
        <color auto="1"/>
      </left>
      <right/>
      <top/>
      <bottom style="thin">
        <color auto="1"/>
      </bottom>
      <diagonal/>
    </border>
    <border>
      <left style="thin">
        <color auto="1"/>
      </left>
      <right style="thin">
        <color auto="1"/>
      </right>
      <top style="thin">
        <color auto="1"/>
      </top>
      <bottom style="dotted">
        <color auto="1"/>
      </bottom>
      <diagonal/>
    </border>
    <border>
      <left style="double">
        <color auto="1"/>
      </left>
      <right style="double">
        <color auto="1"/>
      </right>
      <top style="thin">
        <color auto="1"/>
      </top>
      <bottom/>
      <diagonal/>
    </border>
    <border>
      <left style="double">
        <color auto="1"/>
      </left>
      <right style="double">
        <color auto="1"/>
      </right>
      <top style="thick">
        <color auto="1"/>
      </top>
      <bottom/>
      <diagonal/>
    </border>
    <border>
      <left style="double">
        <color auto="1"/>
      </left>
      <right style="double">
        <color auto="1"/>
      </right>
      <top/>
      <bottom/>
      <diagonal/>
    </border>
    <border>
      <left style="double">
        <color auto="1"/>
      </left>
      <right style="double">
        <color auto="1"/>
      </right>
      <top style="thin">
        <color auto="1"/>
      </top>
      <bottom style="thin">
        <color auto="1"/>
      </bottom>
      <diagonal/>
    </border>
    <border>
      <left style="double">
        <color auto="1"/>
      </left>
      <right style="thin">
        <color auto="1"/>
      </right>
      <top style="thin">
        <color auto="1"/>
      </top>
      <bottom style="dotted">
        <color auto="1"/>
      </bottom>
      <diagonal/>
    </border>
    <border>
      <left style="thin">
        <color auto="1"/>
      </left>
      <right style="double">
        <color auto="1"/>
      </right>
      <top style="thin">
        <color auto="1"/>
      </top>
      <bottom style="thick">
        <color auto="1"/>
      </bottom>
      <diagonal/>
    </border>
    <border>
      <left style="thin">
        <color auto="1"/>
      </left>
      <right style="double">
        <color auto="1"/>
      </right>
      <top/>
      <bottom style="thin">
        <color auto="1"/>
      </bottom>
      <diagonal/>
    </border>
    <border>
      <left style="thin">
        <color auto="1"/>
      </left>
      <right style="thin">
        <color auto="1"/>
      </right>
      <top style="thick">
        <color auto="1"/>
      </top>
      <bottom style="dotted">
        <color auto="1"/>
      </bottom>
      <diagonal/>
    </border>
    <border>
      <left style="thin">
        <color auto="1"/>
      </left>
      <right style="double">
        <color auto="1"/>
      </right>
      <top style="thin">
        <color auto="1"/>
      </top>
      <bottom style="dotted">
        <color auto="1"/>
      </bottom>
      <diagonal/>
    </border>
    <border>
      <left/>
      <right/>
      <top style="thin">
        <color auto="1"/>
      </top>
      <bottom/>
      <diagonal/>
    </border>
    <border>
      <left style="thin">
        <color auto="1"/>
      </left>
      <right style="thin">
        <color auto="1"/>
      </right>
      <top style="hair">
        <color auto="1"/>
      </top>
      <bottom/>
      <diagonal/>
    </border>
    <border>
      <left style="dotted">
        <color auto="1"/>
      </left>
      <right/>
      <top style="thick">
        <color auto="1"/>
      </top>
      <bottom style="thin">
        <color auto="1"/>
      </bottom>
      <diagonal/>
    </border>
    <border>
      <left style="double">
        <color auto="1"/>
      </left>
      <right/>
      <top style="thin">
        <color auto="1"/>
      </top>
      <bottom style="thin">
        <color auto="1"/>
      </bottom>
      <diagonal/>
    </border>
    <border>
      <left style="double">
        <color auto="1"/>
      </left>
      <right/>
      <top style="thick">
        <color auto="1"/>
      </top>
      <bottom style="thick">
        <color auto="1"/>
      </bottom>
      <diagonal/>
    </border>
    <border>
      <left style="double">
        <color auto="1"/>
      </left>
      <right style="double">
        <color auto="1"/>
      </right>
      <top style="thick">
        <color auto="1"/>
      </top>
      <bottom style="thick">
        <color auto="1"/>
      </bottom>
      <diagonal/>
    </border>
    <border>
      <left style="double">
        <color auto="1"/>
      </left>
      <right style="double">
        <color auto="1"/>
      </right>
      <top/>
      <bottom style="thick">
        <color auto="1"/>
      </bottom>
      <diagonal/>
    </border>
    <border>
      <left style="double">
        <color auto="1"/>
      </left>
      <right style="double">
        <color auto="1"/>
      </right>
      <top style="thin">
        <color auto="1"/>
      </top>
      <bottom style="thick">
        <color auto="1"/>
      </bottom>
      <diagonal/>
    </border>
  </borders>
  <cellStyleXfs count="2">
    <xf numFmtId="0" fontId="0" fillId="0" borderId="0"/>
    <xf numFmtId="0" fontId="16" fillId="0" borderId="0" applyNumberFormat="0" applyFill="0" applyBorder="0" applyAlignment="0" applyProtection="0">
      <alignment vertical="top"/>
      <protection locked="0"/>
    </xf>
  </cellStyleXfs>
  <cellXfs count="602">
    <xf numFmtId="0" fontId="0" fillId="0" borderId="0" xfId="0"/>
    <xf numFmtId="0" fontId="0" fillId="2" borderId="0" xfId="0" applyFill="1"/>
    <xf numFmtId="0" fontId="0" fillId="2" borderId="0" xfId="0" applyFill="1" applyAlignment="1">
      <alignment wrapText="1"/>
    </xf>
    <xf numFmtId="0" fontId="0" fillId="2" borderId="0" xfId="0" applyFill="1" applyAlignment="1">
      <alignment horizontal="center"/>
    </xf>
    <xf numFmtId="0" fontId="0" fillId="2" borderId="1" xfId="0" applyFill="1" applyBorder="1" applyAlignment="1">
      <alignment horizontal="center" wrapText="1"/>
    </xf>
    <xf numFmtId="0" fontId="0" fillId="2" borderId="1" xfId="0" applyFill="1" applyBorder="1" applyAlignment="1">
      <alignment horizontal="center"/>
    </xf>
    <xf numFmtId="0" fontId="0" fillId="2" borderId="1" xfId="0" applyFill="1" applyBorder="1"/>
    <xf numFmtId="0" fontId="0" fillId="3" borderId="1" xfId="0" applyFill="1" applyBorder="1" applyProtection="1">
      <protection locked="0"/>
    </xf>
    <xf numFmtId="0" fontId="3" fillId="2" borderId="0" xfId="0" applyFont="1" applyFill="1" applyAlignment="1">
      <alignment horizontal="center"/>
    </xf>
    <xf numFmtId="0" fontId="0" fillId="2" borderId="0" xfId="0" applyFill="1" applyBorder="1" applyAlignment="1">
      <alignment horizontal="center" wrapText="1"/>
    </xf>
    <xf numFmtId="0" fontId="0" fillId="3" borderId="1" xfId="0" applyFill="1" applyBorder="1" applyAlignment="1" applyProtection="1">
      <alignment horizontal="center"/>
      <protection locked="0"/>
    </xf>
    <xf numFmtId="0" fontId="0" fillId="3" borderId="2" xfId="0" applyFill="1" applyBorder="1" applyAlignment="1" applyProtection="1">
      <alignment horizontal="center"/>
      <protection locked="0"/>
    </xf>
    <xf numFmtId="0" fontId="0" fillId="2" borderId="4" xfId="0" applyFill="1" applyBorder="1" applyAlignment="1">
      <alignment horizontal="center"/>
    </xf>
    <xf numFmtId="0" fontId="0" fillId="2" borderId="5" xfId="0" applyFill="1" applyBorder="1" applyAlignment="1">
      <alignment horizontal="center"/>
    </xf>
    <xf numFmtId="0" fontId="0" fillId="4" borderId="0" xfId="0" applyFill="1"/>
    <xf numFmtId="0" fontId="0" fillId="3" borderId="6" xfId="0" applyFill="1" applyBorder="1" applyAlignment="1" applyProtection="1">
      <alignment horizontal="center"/>
      <protection locked="0"/>
    </xf>
    <xf numFmtId="0" fontId="0" fillId="2" borderId="0" xfId="0" applyFill="1" applyAlignment="1">
      <alignment horizontal="right"/>
    </xf>
    <xf numFmtId="0" fontId="0" fillId="2" borderId="0" xfId="0" applyFill="1" applyAlignment="1">
      <alignment horizontal="left"/>
    </xf>
    <xf numFmtId="0" fontId="0" fillId="2" borderId="0" xfId="0" applyFill="1" applyBorder="1"/>
    <xf numFmtId="0" fontId="1" fillId="2" borderId="0" xfId="0" applyFont="1" applyFill="1" applyAlignment="1">
      <alignment horizontal="center"/>
    </xf>
    <xf numFmtId="0" fontId="2" fillId="2" borderId="0" xfId="0" applyFont="1" applyFill="1" applyBorder="1" applyAlignment="1" applyProtection="1">
      <alignment horizontal="center"/>
      <protection locked="0"/>
    </xf>
    <xf numFmtId="0" fontId="1" fillId="3" borderId="1" xfId="0" applyFont="1" applyFill="1" applyBorder="1" applyAlignment="1" applyProtection="1">
      <alignment horizontal="center"/>
      <protection locked="0"/>
    </xf>
    <xf numFmtId="0" fontId="0" fillId="2" borderId="1" xfId="0" applyFill="1" applyBorder="1" applyAlignment="1">
      <alignment wrapText="1"/>
    </xf>
    <xf numFmtId="0" fontId="0" fillId="2" borderId="1" xfId="0" applyFill="1" applyBorder="1" applyAlignment="1">
      <alignment vertical="center"/>
    </xf>
    <xf numFmtId="0" fontId="0" fillId="3" borderId="1" xfId="0" applyFill="1" applyBorder="1" applyAlignment="1" applyProtection="1">
      <alignment horizontal="center" vertical="center"/>
      <protection locked="0"/>
    </xf>
    <xf numFmtId="0" fontId="0" fillId="2" borderId="0" xfId="0" applyFill="1" applyAlignment="1">
      <alignment vertical="top"/>
    </xf>
    <xf numFmtId="0" fontId="0" fillId="2" borderId="1" xfId="0" applyFill="1" applyBorder="1" applyAlignment="1">
      <alignment vertical="top"/>
    </xf>
    <xf numFmtId="0" fontId="0" fillId="2" borderId="1" xfId="0" applyFill="1" applyBorder="1" applyProtection="1"/>
    <xf numFmtId="0" fontId="0" fillId="2" borderId="7" xfId="0" applyFill="1" applyBorder="1"/>
    <xf numFmtId="0" fontId="0" fillId="3" borderId="7" xfId="0" applyFill="1" applyBorder="1" applyAlignment="1" applyProtection="1">
      <alignment horizontal="center"/>
      <protection locked="0"/>
    </xf>
    <xf numFmtId="0" fontId="0" fillId="2" borderId="8" xfId="0" applyFill="1" applyBorder="1"/>
    <xf numFmtId="0" fontId="0" fillId="2" borderId="9" xfId="0" applyFill="1" applyBorder="1" applyAlignment="1">
      <alignment horizontal="center" vertical="center"/>
    </xf>
    <xf numFmtId="0" fontId="0" fillId="2" borderId="10" xfId="0" applyFill="1" applyBorder="1" applyAlignment="1">
      <alignment horizontal="center" vertical="center"/>
    </xf>
    <xf numFmtId="0" fontId="0" fillId="3" borderId="11" xfId="0" applyFill="1" applyBorder="1" applyAlignment="1" applyProtection="1">
      <alignment horizontal="center" vertical="center"/>
      <protection locked="0"/>
    </xf>
    <xf numFmtId="0" fontId="0" fillId="3" borderId="3" xfId="0" applyFill="1" applyBorder="1" applyAlignment="1" applyProtection="1">
      <alignment horizontal="center" vertical="center"/>
      <protection locked="0"/>
    </xf>
    <xf numFmtId="0" fontId="0" fillId="3" borderId="2" xfId="0" applyFill="1" applyBorder="1" applyAlignment="1" applyProtection="1">
      <alignment horizontal="center" vertical="center"/>
      <protection locked="0"/>
    </xf>
    <xf numFmtId="0" fontId="0" fillId="2" borderId="1" xfId="0" applyFill="1" applyBorder="1" applyAlignment="1">
      <alignment horizontal="center" vertical="center"/>
    </xf>
    <xf numFmtId="0" fontId="0" fillId="2" borderId="0" xfId="0" applyFill="1" applyAlignment="1">
      <alignment horizontal="center" vertical="center"/>
    </xf>
    <xf numFmtId="0" fontId="0" fillId="2" borderId="12" xfId="0" applyFill="1" applyBorder="1" applyAlignment="1">
      <alignment horizontal="center"/>
    </xf>
    <xf numFmtId="0" fontId="0" fillId="2" borderId="13" xfId="0" applyFill="1" applyBorder="1"/>
    <xf numFmtId="0" fontId="0" fillId="2" borderId="14" xfId="0" applyFill="1" applyBorder="1"/>
    <xf numFmtId="0" fontId="0" fillId="2" borderId="15" xfId="0" applyFill="1" applyBorder="1"/>
    <xf numFmtId="0" fontId="0" fillId="2" borderId="7" xfId="0" applyFill="1" applyBorder="1" applyAlignment="1" applyProtection="1">
      <alignment horizontal="center"/>
    </xf>
    <xf numFmtId="0" fontId="0" fillId="3" borderId="4" xfId="0" applyFill="1" applyBorder="1" applyAlignment="1" applyProtection="1">
      <alignment horizontal="center"/>
      <protection locked="0"/>
    </xf>
    <xf numFmtId="0" fontId="0" fillId="0" borderId="1" xfId="0" applyBorder="1" applyAlignment="1">
      <alignment horizontal="center"/>
    </xf>
    <xf numFmtId="0" fontId="2" fillId="2" borderId="0" xfId="0" applyFont="1" applyFill="1" applyAlignment="1">
      <alignment horizontal="center"/>
    </xf>
    <xf numFmtId="0" fontId="4" fillId="2" borderId="0" xfId="0" applyFont="1" applyFill="1" applyAlignment="1">
      <alignment horizontal="center"/>
    </xf>
    <xf numFmtId="0" fontId="0" fillId="2" borderId="0" xfId="0" applyFill="1" applyBorder="1" applyProtection="1"/>
    <xf numFmtId="0" fontId="0" fillId="2" borderId="16" xfId="0" applyFill="1" applyBorder="1" applyAlignment="1">
      <alignment horizontal="center"/>
    </xf>
    <xf numFmtId="0" fontId="0" fillId="2" borderId="7" xfId="0" applyFill="1" applyBorder="1" applyAlignment="1" applyProtection="1">
      <alignment horizontal="center"/>
      <protection locked="0"/>
    </xf>
    <xf numFmtId="0" fontId="0" fillId="2" borderId="1" xfId="0" applyFill="1" applyBorder="1" applyAlignment="1" applyProtection="1">
      <alignment horizontal="center"/>
      <protection locked="0"/>
    </xf>
    <xf numFmtId="0" fontId="1" fillId="2" borderId="17" xfId="0" applyFont="1" applyFill="1" applyBorder="1" applyAlignment="1">
      <alignment horizontal="center"/>
    </xf>
    <xf numFmtId="0" fontId="1" fillId="2" borderId="16" xfId="0" applyFont="1" applyFill="1" applyBorder="1" applyAlignment="1">
      <alignment horizontal="center"/>
    </xf>
    <xf numFmtId="0" fontId="0" fillId="6" borderId="18" xfId="0" applyFill="1" applyBorder="1"/>
    <xf numFmtId="0" fontId="0" fillId="2" borderId="4" xfId="0" applyFill="1" applyBorder="1"/>
    <xf numFmtId="0" fontId="0" fillId="2" borderId="19" xfId="0" applyFill="1" applyBorder="1"/>
    <xf numFmtId="0" fontId="0" fillId="3" borderId="20" xfId="0" applyFill="1" applyBorder="1" applyAlignment="1" applyProtection="1">
      <alignment horizontal="center"/>
      <protection locked="0"/>
    </xf>
    <xf numFmtId="0" fontId="0" fillId="2" borderId="4" xfId="0" applyFill="1" applyBorder="1" applyAlignment="1">
      <alignment wrapText="1"/>
    </xf>
    <xf numFmtId="0" fontId="0" fillId="2" borderId="21" xfId="0" applyFill="1" applyBorder="1" applyAlignment="1">
      <alignment horizontal="center"/>
    </xf>
    <xf numFmtId="0" fontId="0" fillId="2" borderId="23" xfId="0" applyFill="1" applyBorder="1"/>
    <xf numFmtId="0" fontId="0" fillId="2" borderId="0" xfId="0" applyFill="1" applyBorder="1" applyAlignment="1">
      <alignment wrapText="1"/>
    </xf>
    <xf numFmtId="0" fontId="4" fillId="2" borderId="0" xfId="0" applyFont="1" applyFill="1"/>
    <xf numFmtId="0" fontId="0" fillId="2" borderId="21" xfId="0" applyFill="1" applyBorder="1"/>
    <xf numFmtId="0" fontId="0" fillId="2" borderId="24" xfId="0" applyFill="1" applyBorder="1"/>
    <xf numFmtId="0" fontId="6" fillId="2" borderId="19" xfId="0" applyFont="1" applyFill="1" applyBorder="1"/>
    <xf numFmtId="0" fontId="6" fillId="2" borderId="25" xfId="0" applyFont="1" applyFill="1" applyBorder="1"/>
    <xf numFmtId="0" fontId="0" fillId="2" borderId="11" xfId="0" applyFill="1" applyBorder="1" applyAlignment="1">
      <alignment horizontal="center" vertical="center"/>
    </xf>
    <xf numFmtId="0" fontId="6" fillId="2" borderId="0" xfId="0" applyFont="1" applyFill="1"/>
    <xf numFmtId="0" fontId="4" fillId="2" borderId="0" xfId="0" applyFont="1" applyFill="1" applyAlignment="1">
      <alignment horizontal="right"/>
    </xf>
    <xf numFmtId="0" fontId="0" fillId="2" borderId="18" xfId="0" applyFill="1" applyBorder="1" applyAlignment="1">
      <alignment horizontal="center"/>
    </xf>
    <xf numFmtId="0" fontId="0" fillId="5" borderId="10" xfId="0" applyFill="1" applyBorder="1" applyAlignment="1">
      <alignment horizontal="center"/>
    </xf>
    <xf numFmtId="0" fontId="0" fillId="5" borderId="0" xfId="0" applyFill="1" applyAlignment="1" applyProtection="1">
      <alignment horizontal="center"/>
      <protection locked="0"/>
    </xf>
    <xf numFmtId="0" fontId="0" fillId="7" borderId="18" xfId="0" applyFill="1" applyBorder="1" applyAlignment="1">
      <alignment horizontal="center"/>
    </xf>
    <xf numFmtId="0" fontId="0" fillId="2" borderId="1" xfId="0" applyFill="1" applyBorder="1" applyAlignment="1">
      <alignment horizontal="left"/>
    </xf>
    <xf numFmtId="2" fontId="0" fillId="2" borderId="4" xfId="0" applyNumberFormat="1" applyFill="1" applyBorder="1" applyAlignment="1">
      <alignment horizontal="left"/>
    </xf>
    <xf numFmtId="0" fontId="0" fillId="2" borderId="18" xfId="0" applyFill="1" applyBorder="1" applyAlignment="1">
      <alignment horizontal="right"/>
    </xf>
    <xf numFmtId="0" fontId="7" fillId="0" borderId="0" xfId="0" applyFont="1" applyAlignment="1">
      <alignment horizontal="center"/>
    </xf>
    <xf numFmtId="0" fontId="8" fillId="2" borderId="0" xfId="0" applyFont="1" applyFill="1" applyAlignment="1">
      <alignment horizontal="center"/>
    </xf>
    <xf numFmtId="164" fontId="9" fillId="7" borderId="18" xfId="0" applyNumberFormat="1" applyFont="1" applyFill="1" applyBorder="1" applyAlignment="1">
      <alignment horizontal="center"/>
    </xf>
    <xf numFmtId="0" fontId="0" fillId="2" borderId="0" xfId="0" applyFill="1" applyBorder="1" applyAlignment="1">
      <alignment horizontal="center"/>
    </xf>
    <xf numFmtId="0" fontId="10" fillId="2" borderId="0" xfId="0" applyFont="1" applyFill="1" applyAlignment="1">
      <alignment wrapText="1"/>
    </xf>
    <xf numFmtId="0" fontId="10" fillId="2" borderId="0" xfId="0" applyFont="1" applyFill="1"/>
    <xf numFmtId="0" fontId="10" fillId="2" borderId="1" xfId="0" applyFont="1" applyFill="1" applyBorder="1"/>
    <xf numFmtId="0" fontId="10" fillId="2" borderId="1" xfId="0" applyFont="1" applyFill="1" applyBorder="1" applyAlignment="1">
      <alignment horizontal="left" wrapText="1"/>
    </xf>
    <xf numFmtId="0" fontId="0" fillId="2" borderId="7" xfId="0" applyFill="1" applyBorder="1" applyAlignment="1">
      <alignment horizontal="center"/>
    </xf>
    <xf numFmtId="0" fontId="0" fillId="2" borderId="26" xfId="0" applyFill="1" applyBorder="1"/>
    <xf numFmtId="0" fontId="0" fillId="2" borderId="23" xfId="0" applyFill="1" applyBorder="1" applyAlignment="1">
      <alignment horizontal="center"/>
    </xf>
    <xf numFmtId="0" fontId="0" fillId="2" borderId="19" xfId="0" applyFill="1" applyBorder="1" applyAlignment="1">
      <alignment horizontal="center"/>
    </xf>
    <xf numFmtId="0" fontId="0" fillId="2" borderId="16" xfId="0" applyFill="1" applyBorder="1" applyAlignment="1" applyProtection="1">
      <alignment horizontal="center"/>
      <protection locked="0"/>
    </xf>
    <xf numFmtId="0" fontId="10" fillId="2" borderId="0" xfId="0" applyFont="1" applyFill="1" applyAlignment="1">
      <alignment horizontal="right"/>
    </xf>
    <xf numFmtId="0" fontId="4" fillId="2" borderId="16" xfId="0" applyFont="1" applyFill="1" applyBorder="1" applyAlignment="1" applyProtection="1">
      <alignment horizontal="center"/>
      <protection locked="0"/>
    </xf>
    <xf numFmtId="0" fontId="0" fillId="0" borderId="0" xfId="0" applyAlignment="1">
      <alignment horizontal="center"/>
    </xf>
    <xf numFmtId="0" fontId="0" fillId="2" borderId="8" xfId="0" applyFill="1" applyBorder="1" applyAlignment="1">
      <alignment horizontal="center"/>
    </xf>
    <xf numFmtId="0" fontId="2" fillId="3" borderId="1" xfId="0" applyFont="1" applyFill="1" applyBorder="1" applyAlignment="1" applyProtection="1">
      <alignment horizontal="center" wrapText="1"/>
      <protection locked="0"/>
    </xf>
    <xf numFmtId="0" fontId="0" fillId="2" borderId="16" xfId="0" applyFill="1" applyBorder="1"/>
    <xf numFmtId="0" fontId="0" fillId="0" borderId="1" xfId="0" applyBorder="1"/>
    <xf numFmtId="0" fontId="1" fillId="2" borderId="1" xfId="0" applyFont="1" applyFill="1" applyBorder="1" applyAlignment="1"/>
    <xf numFmtId="0" fontId="14" fillId="2" borderId="0" xfId="0" applyFont="1" applyFill="1" applyAlignment="1">
      <alignment vertical="center" wrapText="1"/>
    </xf>
    <xf numFmtId="1" fontId="0" fillId="3" borderId="1" xfId="0" applyNumberFormat="1" applyFill="1" applyBorder="1" applyAlignment="1" applyProtection="1">
      <alignment horizontal="center"/>
      <protection locked="0"/>
    </xf>
    <xf numFmtId="0" fontId="0" fillId="2" borderId="16" xfId="0" applyFill="1" applyBorder="1" applyProtection="1">
      <protection locked="0"/>
    </xf>
    <xf numFmtId="0" fontId="0" fillId="2" borderId="1" xfId="0" applyFill="1" applyBorder="1" applyAlignment="1" applyProtection="1">
      <alignment horizontal="center"/>
    </xf>
    <xf numFmtId="0" fontId="0" fillId="4" borderId="0" xfId="0" applyFill="1" applyBorder="1" applyProtection="1">
      <protection locked="0"/>
    </xf>
    <xf numFmtId="0" fontId="0" fillId="2" borderId="13" xfId="0" applyFill="1" applyBorder="1" applyAlignment="1">
      <alignment wrapText="1"/>
    </xf>
    <xf numFmtId="0" fontId="4" fillId="2" borderId="0" xfId="0" applyFont="1" applyFill="1" applyAlignment="1">
      <alignment wrapText="1"/>
    </xf>
    <xf numFmtId="0" fontId="0" fillId="4" borderId="0" xfId="0" applyFill="1" applyAlignment="1">
      <alignment horizontal="center"/>
    </xf>
    <xf numFmtId="0" fontId="14" fillId="8" borderId="0" xfId="0" applyFont="1" applyFill="1"/>
    <xf numFmtId="0" fontId="10" fillId="0" borderId="0" xfId="0" applyFont="1"/>
    <xf numFmtId="0" fontId="2" fillId="3" borderId="1" xfId="0" applyFont="1" applyFill="1" applyBorder="1" applyAlignment="1" applyProtection="1">
      <alignment vertical="top" wrapText="1"/>
      <protection locked="0"/>
    </xf>
    <xf numFmtId="0" fontId="0" fillId="2" borderId="17" xfId="0" applyFill="1" applyBorder="1"/>
    <xf numFmtId="0" fontId="0" fillId="2" borderId="27" xfId="0" applyFill="1" applyBorder="1"/>
    <xf numFmtId="0" fontId="0" fillId="2" borderId="28" xfId="0" applyFill="1" applyBorder="1"/>
    <xf numFmtId="0" fontId="0" fillId="2" borderId="1" xfId="0" applyFill="1" applyBorder="1" applyAlignment="1">
      <alignment horizontal="right"/>
    </xf>
    <xf numFmtId="0" fontId="14" fillId="9" borderId="0" xfId="0" applyFont="1" applyFill="1"/>
    <xf numFmtId="0" fontId="0" fillId="2" borderId="2" xfId="0" applyFill="1" applyBorder="1"/>
    <xf numFmtId="0" fontId="0" fillId="3" borderId="29" xfId="0" applyFill="1" applyBorder="1" applyAlignment="1" applyProtection="1">
      <alignment horizontal="center"/>
      <protection locked="0"/>
    </xf>
    <xf numFmtId="0" fontId="0" fillId="3" borderId="28" xfId="0" applyFill="1" applyBorder="1" applyAlignment="1" applyProtection="1">
      <alignment horizontal="center"/>
      <protection locked="0"/>
    </xf>
    <xf numFmtId="0" fontId="0" fillId="0" borderId="14" xfId="0" applyBorder="1" applyAlignment="1">
      <alignment horizontal="center"/>
    </xf>
    <xf numFmtId="0" fontId="0" fillId="0" borderId="30" xfId="0" applyBorder="1"/>
    <xf numFmtId="0" fontId="0" fillId="2" borderId="31" xfId="0" applyFill="1" applyBorder="1" applyAlignment="1">
      <alignment horizontal="center"/>
    </xf>
    <xf numFmtId="0" fontId="1" fillId="2" borderId="0" xfId="0" applyFont="1" applyFill="1" applyBorder="1" applyAlignment="1">
      <alignment horizontal="center"/>
    </xf>
    <xf numFmtId="0" fontId="0" fillId="2" borderId="0" xfId="0" applyFill="1" applyBorder="1" applyAlignment="1">
      <alignment horizontal="left"/>
    </xf>
    <xf numFmtId="0" fontId="1" fillId="4" borderId="0" xfId="0" applyFont="1" applyFill="1" applyBorder="1" applyAlignment="1">
      <alignment horizontal="center"/>
    </xf>
    <xf numFmtId="0" fontId="1" fillId="2" borderId="0" xfId="0" applyFont="1" applyFill="1" applyBorder="1" applyAlignment="1"/>
    <xf numFmtId="0" fontId="1" fillId="2" borderId="0" xfId="0" quotePrefix="1" applyFont="1" applyFill="1" applyBorder="1" applyAlignment="1"/>
    <xf numFmtId="0" fontId="0" fillId="2" borderId="32" xfId="0" applyFill="1" applyBorder="1"/>
    <xf numFmtId="0" fontId="0" fillId="2" borderId="33" xfId="0" applyFill="1" applyBorder="1"/>
    <xf numFmtId="0" fontId="0" fillId="2" borderId="20" xfId="0" applyFill="1" applyBorder="1" applyAlignment="1">
      <alignment horizontal="center"/>
    </xf>
    <xf numFmtId="0" fontId="0" fillId="2" borderId="32" xfId="0" applyFill="1" applyBorder="1" applyAlignment="1">
      <alignment horizontal="center"/>
    </xf>
    <xf numFmtId="0" fontId="0" fillId="2" borderId="34" xfId="0" applyFill="1" applyBorder="1" applyAlignment="1">
      <alignment horizontal="center"/>
    </xf>
    <xf numFmtId="0" fontId="0" fillId="2" borderId="35" xfId="0" applyFill="1" applyBorder="1"/>
    <xf numFmtId="0" fontId="0" fillId="2" borderId="36" xfId="0" applyFill="1" applyBorder="1" applyAlignment="1" applyProtection="1">
      <alignment horizontal="center"/>
    </xf>
    <xf numFmtId="0" fontId="0" fillId="2" borderId="37" xfId="0" applyFill="1" applyBorder="1" applyAlignment="1" applyProtection="1">
      <alignment horizontal="center"/>
    </xf>
    <xf numFmtId="0" fontId="0" fillId="2" borderId="38" xfId="0" applyFill="1" applyBorder="1" applyAlignment="1" applyProtection="1">
      <alignment horizontal="center"/>
    </xf>
    <xf numFmtId="0" fontId="0" fillId="2" borderId="10" xfId="0" applyFill="1" applyBorder="1" applyAlignment="1" applyProtection="1">
      <alignment horizontal="center"/>
    </xf>
    <xf numFmtId="0" fontId="0" fillId="2" borderId="32" xfId="0" applyFill="1" applyBorder="1" applyAlignment="1" applyProtection="1">
      <alignment horizontal="center"/>
    </xf>
    <xf numFmtId="0" fontId="0" fillId="2" borderId="25" xfId="0" applyFill="1" applyBorder="1"/>
    <xf numFmtId="0" fontId="0" fillId="2" borderId="39" xfId="0" applyFill="1" applyBorder="1"/>
    <xf numFmtId="0" fontId="0" fillId="2" borderId="40" xfId="0" applyFill="1" applyBorder="1"/>
    <xf numFmtId="0" fontId="0" fillId="2" borderId="33" xfId="0" applyFill="1" applyBorder="1" applyAlignment="1">
      <alignment horizontal="right"/>
    </xf>
    <xf numFmtId="0" fontId="0" fillId="0" borderId="41" xfId="0" applyBorder="1" applyAlignment="1">
      <alignment horizontal="center"/>
    </xf>
    <xf numFmtId="0" fontId="0" fillId="2" borderId="42" xfId="0" applyFill="1" applyBorder="1" applyAlignment="1">
      <alignment horizontal="center"/>
    </xf>
    <xf numFmtId="0" fontId="0" fillId="2" borderId="43" xfId="0" applyFill="1" applyBorder="1" applyAlignment="1">
      <alignment horizontal="center"/>
    </xf>
    <xf numFmtId="1" fontId="0" fillId="3" borderId="44" xfId="0" applyNumberFormat="1" applyFill="1" applyBorder="1" applyAlignment="1" applyProtection="1">
      <alignment horizontal="center"/>
      <protection locked="0"/>
    </xf>
    <xf numFmtId="1" fontId="0" fillId="3" borderId="45" xfId="0" applyNumberFormat="1" applyFill="1" applyBorder="1" applyAlignment="1" applyProtection="1">
      <alignment horizontal="center"/>
      <protection locked="0"/>
    </xf>
    <xf numFmtId="1" fontId="0" fillId="3" borderId="38" xfId="0" applyNumberFormat="1" applyFill="1" applyBorder="1" applyAlignment="1" applyProtection="1">
      <alignment horizontal="center"/>
      <protection locked="0"/>
    </xf>
    <xf numFmtId="1" fontId="0" fillId="3" borderId="10" xfId="0" applyNumberFormat="1" applyFill="1" applyBorder="1" applyAlignment="1" applyProtection="1">
      <alignment horizontal="center"/>
      <protection locked="0"/>
    </xf>
    <xf numFmtId="0" fontId="0" fillId="2" borderId="29" xfId="0" applyFill="1" applyBorder="1" applyAlignment="1" applyProtection="1">
      <alignment horizontal="center"/>
    </xf>
    <xf numFmtId="0" fontId="0" fillId="2" borderId="0" xfId="0" applyFill="1" applyAlignment="1">
      <alignment vertical="top" wrapText="1"/>
    </xf>
    <xf numFmtId="0" fontId="0" fillId="2" borderId="0" xfId="0" applyFill="1" applyBorder="1" applyAlignment="1">
      <alignment vertical="top" wrapText="1"/>
    </xf>
    <xf numFmtId="0" fontId="2" fillId="3" borderId="1" xfId="0" applyFont="1" applyFill="1" applyBorder="1" applyProtection="1">
      <protection locked="0"/>
    </xf>
    <xf numFmtId="0" fontId="0" fillId="2" borderId="20" xfId="0" applyFill="1" applyBorder="1"/>
    <xf numFmtId="0" fontId="4" fillId="2" borderId="18" xfId="0" applyFont="1" applyFill="1" applyBorder="1" applyAlignment="1">
      <alignment horizontal="center"/>
    </xf>
    <xf numFmtId="0" fontId="0" fillId="3" borderId="27" xfId="0" applyFill="1" applyBorder="1" applyAlignment="1" applyProtection="1">
      <alignment horizontal="center"/>
      <protection locked="0"/>
    </xf>
    <xf numFmtId="0" fontId="0" fillId="2" borderId="46" xfId="0" applyFill="1" applyBorder="1"/>
    <xf numFmtId="0" fontId="0" fillId="2" borderId="47" xfId="0" applyFill="1" applyBorder="1"/>
    <xf numFmtId="0" fontId="0" fillId="2" borderId="27" xfId="0" applyFill="1" applyBorder="1" applyAlignment="1">
      <alignment horizontal="center"/>
    </xf>
    <xf numFmtId="0" fontId="0" fillId="2" borderId="48" xfId="0" applyFill="1" applyBorder="1"/>
    <xf numFmtId="0" fontId="0" fillId="2" borderId="29" xfId="0" applyFill="1" applyBorder="1"/>
    <xf numFmtId="0" fontId="0" fillId="2" borderId="49" xfId="0" applyFill="1" applyBorder="1"/>
    <xf numFmtId="0" fontId="0" fillId="2" borderId="50" xfId="0" applyFill="1" applyBorder="1"/>
    <xf numFmtId="0" fontId="0" fillId="2" borderId="51" xfId="0" applyFill="1" applyBorder="1"/>
    <xf numFmtId="0" fontId="0" fillId="2" borderId="52" xfId="0" applyFill="1" applyBorder="1"/>
    <xf numFmtId="0" fontId="4" fillId="2" borderId="25" xfId="0" applyFont="1" applyFill="1" applyBorder="1"/>
    <xf numFmtId="0" fontId="0" fillId="2" borderId="7" xfId="0" applyFill="1" applyBorder="1" applyAlignment="1">
      <alignment horizontal="left"/>
    </xf>
    <xf numFmtId="0" fontId="0" fillId="2" borderId="35" xfId="0" applyFill="1" applyBorder="1" applyAlignment="1">
      <alignment horizontal="left"/>
    </xf>
    <xf numFmtId="0" fontId="0" fillId="2" borderId="17" xfId="0" applyFill="1" applyBorder="1" applyAlignment="1">
      <alignment horizontal="left"/>
    </xf>
    <xf numFmtId="0" fontId="2" fillId="3" borderId="53" xfId="0" applyFont="1" applyFill="1" applyBorder="1" applyAlignment="1" applyProtection="1">
      <alignment horizontal="center"/>
      <protection locked="0"/>
    </xf>
    <xf numFmtId="0" fontId="15" fillId="2" borderId="53" xfId="0" applyFont="1" applyFill="1" applyBorder="1" applyAlignment="1" applyProtection="1">
      <alignment horizontal="center"/>
      <protection locked="0"/>
    </xf>
    <xf numFmtId="0" fontId="2" fillId="3" borderId="54" xfId="0" applyFont="1" applyFill="1" applyBorder="1" applyAlignment="1" applyProtection="1">
      <alignment horizontal="center"/>
      <protection locked="0"/>
    </xf>
    <xf numFmtId="0" fontId="0" fillId="2" borderId="25" xfId="0" applyFill="1" applyBorder="1" applyAlignment="1" applyProtection="1">
      <alignment horizontal="center"/>
    </xf>
    <xf numFmtId="0" fontId="0" fillId="2" borderId="46" xfId="0" applyFill="1" applyBorder="1" applyAlignment="1">
      <alignment horizontal="center"/>
    </xf>
    <xf numFmtId="0" fontId="16" fillId="2" borderId="0" xfId="1" applyFill="1" applyAlignment="1" applyProtection="1"/>
    <xf numFmtId="0" fontId="16" fillId="2" borderId="1" xfId="1" applyFill="1" applyBorder="1" applyAlignment="1" applyProtection="1">
      <alignment horizontal="center"/>
    </xf>
    <xf numFmtId="0" fontId="16" fillId="2" borderId="0" xfId="1" applyFont="1" applyFill="1" applyAlignment="1" applyProtection="1"/>
    <xf numFmtId="2" fontId="0" fillId="2" borderId="0" xfId="0" applyNumberFormat="1" applyFill="1"/>
    <xf numFmtId="2" fontId="0" fillId="2" borderId="20" xfId="0" applyNumberFormat="1" applyFill="1" applyBorder="1" applyAlignment="1">
      <alignment horizontal="center"/>
    </xf>
    <xf numFmtId="2" fontId="0" fillId="2" borderId="1" xfId="0" applyNumberFormat="1" applyFill="1" applyBorder="1" applyAlignment="1">
      <alignment horizontal="center"/>
    </xf>
    <xf numFmtId="2" fontId="0" fillId="2" borderId="4" xfId="0" applyNumberFormat="1" applyFill="1" applyBorder="1" applyAlignment="1">
      <alignment horizontal="center"/>
    </xf>
    <xf numFmtId="0" fontId="0" fillId="2" borderId="11" xfId="0" applyFill="1" applyBorder="1" applyAlignment="1">
      <alignment horizontal="center"/>
    </xf>
    <xf numFmtId="0" fontId="0" fillId="2" borderId="0" xfId="0" applyFill="1" applyBorder="1" applyProtection="1">
      <protection locked="0"/>
    </xf>
    <xf numFmtId="2" fontId="0" fillId="4" borderId="0" xfId="0" applyNumberFormat="1" applyFill="1"/>
    <xf numFmtId="0" fontId="4" fillId="2" borderId="4" xfId="0" applyFont="1" applyFill="1" applyBorder="1" applyAlignment="1">
      <alignment horizontal="center"/>
    </xf>
    <xf numFmtId="0" fontId="17" fillId="0" borderId="1" xfId="0" applyFont="1" applyBorder="1" applyAlignment="1">
      <alignment horizontal="center" vertical="top" wrapText="1"/>
    </xf>
    <xf numFmtId="0" fontId="17" fillId="0" borderId="1" xfId="0" applyFont="1" applyBorder="1" applyAlignment="1">
      <alignment vertical="top" wrapText="1"/>
    </xf>
    <xf numFmtId="3" fontId="17" fillId="0" borderId="1" xfId="0" applyNumberFormat="1" applyFont="1" applyBorder="1" applyAlignment="1">
      <alignment horizontal="center" vertical="top" wrapText="1"/>
    </xf>
    <xf numFmtId="0" fontId="4" fillId="2" borderId="0" xfId="0" applyFont="1" applyFill="1" applyBorder="1"/>
    <xf numFmtId="0" fontId="0" fillId="3" borderId="17" xfId="0" applyFill="1" applyBorder="1" applyProtection="1">
      <protection locked="0"/>
    </xf>
    <xf numFmtId="0" fontId="0" fillId="2" borderId="55" xfId="0" applyFill="1" applyBorder="1" applyAlignment="1">
      <alignment horizontal="center"/>
    </xf>
    <xf numFmtId="0" fontId="10" fillId="2" borderId="0" xfId="0" applyFont="1" applyFill="1" applyAlignment="1">
      <alignment vertical="top" wrapText="1"/>
    </xf>
    <xf numFmtId="0" fontId="0" fillId="2" borderId="56" xfId="0" applyFill="1" applyBorder="1" applyAlignment="1">
      <alignment vertical="center"/>
    </xf>
    <xf numFmtId="0" fontId="0" fillId="2" borderId="55" xfId="0" applyFill="1" applyBorder="1"/>
    <xf numFmtId="0" fontId="0" fillId="3" borderId="45" xfId="0" applyFill="1" applyBorder="1" applyAlignment="1" applyProtection="1">
      <alignment horizontal="center" vertical="center"/>
      <protection locked="0"/>
    </xf>
    <xf numFmtId="0" fontId="0" fillId="3" borderId="20" xfId="0" applyFill="1" applyBorder="1" applyAlignment="1" applyProtection="1">
      <alignment horizontal="center" vertical="center"/>
      <protection locked="0"/>
    </xf>
    <xf numFmtId="0" fontId="0" fillId="3" borderId="57" xfId="0" applyFill="1" applyBorder="1" applyAlignment="1" applyProtection="1">
      <alignment horizontal="center" vertical="center"/>
      <protection locked="0"/>
    </xf>
    <xf numFmtId="0" fontId="0" fillId="3" borderId="10" xfId="0" applyFill="1" applyBorder="1" applyAlignment="1" applyProtection="1">
      <alignment horizontal="center" vertical="center"/>
      <protection locked="0"/>
    </xf>
    <xf numFmtId="0" fontId="0" fillId="3" borderId="58" xfId="0" applyFill="1" applyBorder="1" applyAlignment="1" applyProtection="1">
      <alignment horizontal="center" vertical="center"/>
      <protection locked="0"/>
    </xf>
    <xf numFmtId="0" fontId="0" fillId="3" borderId="8" xfId="0" applyFill="1" applyBorder="1" applyAlignment="1" applyProtection="1">
      <alignment horizontal="center" vertical="center"/>
      <protection locked="0"/>
    </xf>
    <xf numFmtId="0" fontId="0" fillId="3" borderId="59" xfId="0" applyFill="1" applyBorder="1" applyAlignment="1" applyProtection="1">
      <alignment horizontal="center" vertical="center"/>
      <protection locked="0"/>
    </xf>
    <xf numFmtId="0" fontId="0" fillId="2" borderId="0" xfId="0" applyFill="1" applyBorder="1" applyAlignment="1" applyProtection="1">
      <alignment horizontal="center"/>
      <protection locked="0"/>
    </xf>
    <xf numFmtId="0" fontId="1" fillId="2" borderId="0" xfId="0" applyFont="1" applyFill="1" applyBorder="1" applyAlignment="1">
      <alignment horizontal="left"/>
    </xf>
    <xf numFmtId="0" fontId="6" fillId="2" borderId="0" xfId="0" applyFont="1" applyFill="1" applyAlignment="1">
      <alignment wrapText="1"/>
    </xf>
    <xf numFmtId="0" fontId="0" fillId="3" borderId="60" xfId="0" applyFill="1" applyBorder="1" applyAlignment="1" applyProtection="1">
      <alignment horizontal="center" vertical="center"/>
      <protection locked="0"/>
    </xf>
    <xf numFmtId="0" fontId="0" fillId="3" borderId="38" xfId="0" applyFill="1" applyBorder="1" applyAlignment="1" applyProtection="1">
      <alignment horizontal="center" vertical="center"/>
      <protection locked="0"/>
    </xf>
    <xf numFmtId="0" fontId="10" fillId="2" borderId="0" xfId="0" applyFont="1" applyFill="1" applyBorder="1" applyAlignment="1">
      <alignment horizontal="left"/>
    </xf>
    <xf numFmtId="0" fontId="0" fillId="2" borderId="25" xfId="0" applyFill="1" applyBorder="1" applyAlignment="1">
      <alignment horizontal="right"/>
    </xf>
    <xf numFmtId="0" fontId="0" fillId="2" borderId="0" xfId="0" applyFill="1" applyBorder="1" applyAlignment="1">
      <alignment horizontal="right"/>
    </xf>
    <xf numFmtId="0" fontId="0" fillId="2" borderId="61" xfId="0" applyFill="1" applyBorder="1" applyAlignment="1">
      <alignment horizontal="center"/>
    </xf>
    <xf numFmtId="0" fontId="2" fillId="2" borderId="48" xfId="0" applyFont="1" applyFill="1" applyBorder="1" applyAlignment="1">
      <alignment horizontal="center"/>
    </xf>
    <xf numFmtId="0" fontId="2" fillId="2" borderId="19" xfId="0" applyFont="1" applyFill="1" applyBorder="1" applyAlignment="1">
      <alignment horizontal="center"/>
    </xf>
    <xf numFmtId="0" fontId="2" fillId="2" borderId="7" xfId="0" applyFont="1" applyFill="1" applyBorder="1" applyAlignment="1">
      <alignment horizontal="center"/>
    </xf>
    <xf numFmtId="0" fontId="2" fillId="2" borderId="7" xfId="0" quotePrefix="1" applyFont="1" applyFill="1" applyBorder="1" applyAlignment="1">
      <alignment horizontal="center"/>
    </xf>
    <xf numFmtId="0" fontId="2" fillId="3" borderId="1" xfId="0" applyFont="1" applyFill="1" applyBorder="1" applyAlignment="1" applyProtection="1">
      <alignment horizontal="center"/>
      <protection locked="0"/>
    </xf>
    <xf numFmtId="0" fontId="2" fillId="3" borderId="18" xfId="0" applyFont="1" applyFill="1" applyBorder="1" applyAlignment="1" applyProtection="1">
      <alignment horizontal="center"/>
      <protection locked="0"/>
    </xf>
    <xf numFmtId="0" fontId="0" fillId="3" borderId="10" xfId="0" applyFill="1" applyBorder="1" applyAlignment="1" applyProtection="1">
      <alignment horizontal="center"/>
      <protection locked="0"/>
    </xf>
    <xf numFmtId="0" fontId="0" fillId="2" borderId="47" xfId="0" applyFill="1" applyBorder="1" applyAlignment="1">
      <alignment horizontal="center"/>
    </xf>
    <xf numFmtId="0" fontId="0" fillId="2" borderId="52" xfId="0" applyFill="1" applyBorder="1" applyAlignment="1">
      <alignment horizontal="center"/>
    </xf>
    <xf numFmtId="49" fontId="0" fillId="3" borderId="7" xfId="0" applyNumberFormat="1" applyFill="1" applyBorder="1" applyAlignment="1" applyProtection="1">
      <alignment horizontal="center"/>
      <protection locked="0"/>
    </xf>
    <xf numFmtId="49" fontId="0" fillId="3" borderId="1" xfId="0" applyNumberFormat="1" applyFill="1" applyBorder="1" applyAlignment="1" applyProtection="1">
      <alignment horizontal="center"/>
      <protection locked="0"/>
    </xf>
    <xf numFmtId="49" fontId="0" fillId="4" borderId="4" xfId="0" applyNumberFormat="1" applyFill="1" applyBorder="1" applyAlignment="1">
      <alignment horizontal="center"/>
    </xf>
    <xf numFmtId="49" fontId="0" fillId="4" borderId="19" xfId="0" applyNumberFormat="1" applyFill="1" applyBorder="1" applyAlignment="1">
      <alignment horizontal="center"/>
    </xf>
    <xf numFmtId="0" fontId="0" fillId="2" borderId="0" xfId="0" applyFill="1" applyAlignment="1">
      <alignment horizontal="left" vertical="center"/>
    </xf>
    <xf numFmtId="0" fontId="6" fillId="2" borderId="0" xfId="0" applyFont="1" applyFill="1" applyAlignment="1">
      <alignment horizontal="left" vertical="center"/>
    </xf>
    <xf numFmtId="0" fontId="0" fillId="2" borderId="50" xfId="0" applyFill="1" applyBorder="1" applyAlignment="1">
      <alignment horizontal="center"/>
    </xf>
    <xf numFmtId="0" fontId="0" fillId="2" borderId="50" xfId="0" applyFill="1" applyBorder="1" applyAlignment="1">
      <alignment horizontal="center" vertical="center"/>
    </xf>
    <xf numFmtId="49" fontId="0" fillId="2" borderId="0" xfId="0" applyNumberFormat="1" applyFill="1"/>
    <xf numFmtId="0" fontId="0" fillId="3" borderId="62" xfId="0" applyFill="1" applyBorder="1" applyAlignment="1" applyProtection="1">
      <alignment horizontal="center"/>
      <protection locked="0"/>
    </xf>
    <xf numFmtId="0" fontId="0" fillId="3" borderId="17" xfId="0" applyFill="1" applyBorder="1" applyAlignment="1" applyProtection="1">
      <alignment horizontal="center"/>
      <protection locked="0"/>
    </xf>
    <xf numFmtId="0" fontId="0" fillId="2" borderId="0" xfId="0" applyFill="1" applyBorder="1" applyAlignment="1">
      <alignment horizontal="center" vertical="center"/>
    </xf>
    <xf numFmtId="0" fontId="1" fillId="2" borderId="50" xfId="0" applyFont="1" applyFill="1" applyBorder="1" applyAlignment="1">
      <alignment horizontal="left" vertical="center"/>
    </xf>
    <xf numFmtId="0" fontId="18" fillId="2" borderId="50" xfId="0" applyFont="1" applyFill="1" applyBorder="1" applyAlignment="1">
      <alignment horizontal="left" vertical="center"/>
    </xf>
    <xf numFmtId="2" fontId="0" fillId="2" borderId="19" xfId="0" applyNumberFormat="1" applyFill="1" applyBorder="1" applyAlignment="1">
      <alignment horizontal="center"/>
    </xf>
    <xf numFmtId="0" fontId="16" fillId="2" borderId="7" xfId="1" applyFill="1" applyBorder="1" applyAlignment="1" applyProtection="1">
      <alignment horizontal="center"/>
    </xf>
    <xf numFmtId="0" fontId="0" fillId="0" borderId="63" xfId="0" applyBorder="1"/>
    <xf numFmtId="0" fontId="16" fillId="2" borderId="31" xfId="1" applyFill="1" applyBorder="1" applyAlignment="1" applyProtection="1"/>
    <xf numFmtId="0" fontId="16" fillId="2" borderId="64" xfId="1" applyFill="1" applyBorder="1" applyAlignment="1" applyProtection="1"/>
    <xf numFmtId="0" fontId="16" fillId="2" borderId="1" xfId="1" applyFill="1" applyBorder="1" applyAlignment="1" applyProtection="1"/>
    <xf numFmtId="0" fontId="19" fillId="2" borderId="7" xfId="1" applyFont="1" applyFill="1" applyBorder="1" applyAlignment="1" applyProtection="1">
      <alignment horizontal="center"/>
    </xf>
    <xf numFmtId="0" fontId="19" fillId="2" borderId="19" xfId="1" applyFont="1" applyFill="1" applyBorder="1" applyAlignment="1" applyProtection="1">
      <alignment horizontal="center"/>
    </xf>
    <xf numFmtId="0" fontId="19" fillId="2" borderId="48" xfId="1" applyFont="1" applyFill="1" applyBorder="1" applyAlignment="1" applyProtection="1">
      <alignment horizontal="center"/>
    </xf>
    <xf numFmtId="0" fontId="16" fillId="2" borderId="0" xfId="1" applyFill="1" applyBorder="1" applyAlignment="1" applyProtection="1"/>
    <xf numFmtId="0" fontId="21" fillId="2" borderId="0" xfId="1" applyFont="1" applyFill="1" applyAlignment="1" applyProtection="1">
      <alignment horizontal="center" vertical="center" textRotation="90"/>
    </xf>
    <xf numFmtId="0" fontId="16" fillId="2" borderId="35" xfId="1" applyFill="1" applyBorder="1" applyAlignment="1" applyProtection="1"/>
    <xf numFmtId="0" fontId="16" fillId="2" borderId="0" xfId="1" applyFill="1" applyAlignment="1" applyProtection="1">
      <alignment horizontal="center" wrapText="1"/>
    </xf>
    <xf numFmtId="0" fontId="16" fillId="2" borderId="0" xfId="1" applyFill="1" applyAlignment="1" applyProtection="1">
      <alignment horizontal="center"/>
    </xf>
    <xf numFmtId="0" fontId="20" fillId="2" borderId="0" xfId="1" applyFont="1" applyFill="1" applyAlignment="1" applyProtection="1"/>
    <xf numFmtId="0" fontId="16" fillId="2" borderId="1" xfId="1" applyFill="1" applyBorder="1" applyAlignment="1" applyProtection="1">
      <alignment wrapText="1"/>
    </xf>
    <xf numFmtId="0" fontId="16" fillId="2" borderId="28" xfId="1" applyFill="1" applyBorder="1" applyAlignment="1" applyProtection="1">
      <alignment horizontal="center"/>
    </xf>
    <xf numFmtId="0" fontId="0" fillId="2" borderId="0" xfId="0" applyNumberFormat="1" applyFill="1"/>
    <xf numFmtId="0" fontId="0" fillId="2" borderId="0" xfId="0" applyNumberFormat="1" applyFill="1" applyAlignment="1">
      <alignment horizontal="left"/>
    </xf>
    <xf numFmtId="0" fontId="0" fillId="2" borderId="65" xfId="0" applyNumberFormat="1" applyFill="1" applyBorder="1" applyAlignment="1">
      <alignment horizontal="left"/>
    </xf>
    <xf numFmtId="0" fontId="0" fillId="2" borderId="66" xfId="0" applyFill="1" applyBorder="1" applyAlignment="1" applyProtection="1">
      <alignment horizontal="left"/>
    </xf>
    <xf numFmtId="0" fontId="0" fillId="2" borderId="67" xfId="0" applyFill="1" applyBorder="1"/>
    <xf numFmtId="0" fontId="16" fillId="2" borderId="0" xfId="1" applyFill="1" applyBorder="1" applyAlignment="1" applyProtection="1">
      <alignment horizontal="center"/>
    </xf>
    <xf numFmtId="0" fontId="16" fillId="0" borderId="0" xfId="1" applyAlignment="1" applyProtection="1"/>
    <xf numFmtId="0" fontId="0" fillId="0" borderId="68" xfId="0" applyBorder="1"/>
    <xf numFmtId="0" fontId="0" fillId="2" borderId="69" xfId="0" applyFill="1" applyBorder="1"/>
    <xf numFmtId="0" fontId="0" fillId="2" borderId="70" xfId="0" applyFill="1" applyBorder="1"/>
    <xf numFmtId="0" fontId="0" fillId="2" borderId="71" xfId="0" applyFill="1" applyBorder="1"/>
    <xf numFmtId="0" fontId="0" fillId="2" borderId="72" xfId="0" applyFill="1" applyBorder="1"/>
    <xf numFmtId="0" fontId="0" fillId="2" borderId="73" xfId="0" applyFill="1" applyBorder="1"/>
    <xf numFmtId="0" fontId="0" fillId="2" borderId="18" xfId="0" applyFill="1" applyBorder="1" applyAlignment="1">
      <alignment wrapText="1"/>
    </xf>
    <xf numFmtId="0" fontId="10" fillId="2" borderId="26" xfId="0" applyFont="1" applyFill="1" applyBorder="1"/>
    <xf numFmtId="0" fontId="0" fillId="2" borderId="26" xfId="0" applyFill="1" applyBorder="1" applyAlignment="1" applyProtection="1">
      <alignment horizontal="center"/>
      <protection locked="0"/>
    </xf>
    <xf numFmtId="0" fontId="10" fillId="2" borderId="0" xfId="0" applyFont="1" applyFill="1" applyAlignment="1">
      <alignment vertical="top"/>
    </xf>
    <xf numFmtId="0" fontId="1" fillId="2" borderId="16" xfId="0" applyFont="1" applyFill="1" applyBorder="1" applyAlignment="1">
      <alignment horizontal="center" wrapText="1"/>
    </xf>
    <xf numFmtId="0" fontId="0" fillId="2" borderId="74" xfId="0" applyFill="1" applyBorder="1" applyAlignment="1">
      <alignment vertical="center" wrapText="1"/>
    </xf>
    <xf numFmtId="0" fontId="0" fillId="2" borderId="3" xfId="0" applyFill="1" applyBorder="1" applyAlignment="1">
      <alignment vertical="center" wrapText="1"/>
    </xf>
    <xf numFmtId="0" fontId="0" fillId="2" borderId="1" xfId="0" applyFill="1" applyBorder="1" applyAlignment="1">
      <alignment horizontal="center" vertical="center" wrapText="1"/>
    </xf>
    <xf numFmtId="0" fontId="0" fillId="2" borderId="20" xfId="0" applyFill="1" applyBorder="1" applyAlignment="1">
      <alignment horizontal="center" vertical="center" wrapText="1"/>
    </xf>
    <xf numFmtId="0" fontId="0" fillId="2" borderId="75" xfId="0" applyFill="1" applyBorder="1" applyAlignment="1">
      <alignment horizontal="center" vertical="center" wrapText="1"/>
    </xf>
    <xf numFmtId="0" fontId="0" fillId="2" borderId="28" xfId="0" applyFill="1" applyBorder="1" applyAlignment="1">
      <alignment horizontal="center" vertical="center" wrapText="1"/>
    </xf>
    <xf numFmtId="0" fontId="0" fillId="2" borderId="28" xfId="0" applyFill="1" applyBorder="1" applyAlignment="1">
      <alignment horizontal="center" vertical="center"/>
    </xf>
    <xf numFmtId="0" fontId="0" fillId="2" borderId="2" xfId="0" applyFill="1" applyBorder="1" applyAlignment="1">
      <alignment vertical="center" wrapText="1"/>
    </xf>
    <xf numFmtId="0" fontId="0" fillId="2" borderId="2" xfId="0" applyFill="1" applyBorder="1" applyAlignment="1">
      <alignment vertical="center"/>
    </xf>
    <xf numFmtId="0" fontId="10" fillId="2" borderId="1" xfId="0" applyFont="1" applyFill="1" applyBorder="1" applyAlignment="1">
      <alignment vertical="center"/>
    </xf>
    <xf numFmtId="0" fontId="0" fillId="2" borderId="0" xfId="0" applyFill="1" applyAlignment="1">
      <alignment horizontal="center" wrapText="1"/>
    </xf>
    <xf numFmtId="0" fontId="0" fillId="0" borderId="28" xfId="0" applyBorder="1"/>
    <xf numFmtId="0" fontId="0" fillId="2" borderId="17" xfId="0" applyFill="1" applyBorder="1" applyAlignment="1" applyProtection="1">
      <alignment horizontal="right"/>
    </xf>
    <xf numFmtId="0" fontId="0" fillId="2" borderId="27" xfId="0" applyFill="1" applyBorder="1" applyAlignment="1" applyProtection="1">
      <alignment horizontal="center"/>
    </xf>
    <xf numFmtId="0" fontId="0" fillId="2" borderId="28" xfId="0" applyFill="1" applyBorder="1" applyProtection="1"/>
    <xf numFmtId="0" fontId="0" fillId="2" borderId="17" xfId="0" applyFill="1" applyBorder="1" applyProtection="1"/>
    <xf numFmtId="0" fontId="0" fillId="2" borderId="17" xfId="0" applyFill="1" applyBorder="1" applyAlignment="1">
      <alignment horizontal="center"/>
    </xf>
    <xf numFmtId="0" fontId="2" fillId="3" borderId="27" xfId="0" applyFont="1" applyFill="1" applyBorder="1" applyProtection="1">
      <protection locked="0"/>
    </xf>
    <xf numFmtId="0" fontId="6" fillId="2" borderId="0" xfId="0" applyFont="1" applyFill="1" applyBorder="1" applyAlignment="1" applyProtection="1">
      <alignment horizontal="center"/>
    </xf>
    <xf numFmtId="0" fontId="0" fillId="2" borderId="18" xfId="0" applyFill="1" applyBorder="1" applyAlignment="1">
      <alignment horizontal="left" wrapText="1"/>
    </xf>
    <xf numFmtId="0" fontId="2" fillId="3" borderId="18" xfId="0" applyFont="1" applyFill="1" applyBorder="1" applyAlignment="1" applyProtection="1">
      <alignment vertical="top" wrapText="1"/>
      <protection locked="0"/>
    </xf>
    <xf numFmtId="0" fontId="16" fillId="2" borderId="0" xfId="1" applyFill="1" applyBorder="1" applyAlignment="1" applyProtection="1">
      <alignment horizontal="left"/>
    </xf>
    <xf numFmtId="0" fontId="16" fillId="2" borderId="27" xfId="1" applyFill="1" applyBorder="1" applyAlignment="1" applyProtection="1">
      <alignment horizontal="center"/>
    </xf>
    <xf numFmtId="0" fontId="16" fillId="2" borderId="17" xfId="1" applyFill="1" applyBorder="1" applyAlignment="1" applyProtection="1">
      <alignment horizontal="center"/>
    </xf>
    <xf numFmtId="0" fontId="16" fillId="2" borderId="0" xfId="1" applyFont="1" applyFill="1" applyBorder="1" applyAlignment="1" applyProtection="1"/>
    <xf numFmtId="0" fontId="0" fillId="3" borderId="48" xfId="0" applyFill="1" applyBorder="1" applyAlignment="1" applyProtection="1">
      <alignment horizontal="center"/>
      <protection locked="0"/>
    </xf>
    <xf numFmtId="0" fontId="0" fillId="2" borderId="76" xfId="0" applyFill="1" applyBorder="1"/>
    <xf numFmtId="0" fontId="4" fillId="2" borderId="21" xfId="0" applyFont="1" applyFill="1" applyBorder="1" applyAlignment="1">
      <alignment horizontal="center"/>
    </xf>
    <xf numFmtId="0" fontId="4" fillId="2" borderId="69" xfId="0" applyFont="1" applyFill="1" applyBorder="1" applyAlignment="1">
      <alignment horizontal="center"/>
    </xf>
    <xf numFmtId="0" fontId="0" fillId="2" borderId="77" xfId="0" applyFill="1" applyBorder="1" applyAlignment="1">
      <alignment horizontal="center"/>
    </xf>
    <xf numFmtId="0" fontId="0" fillId="3" borderId="69" xfId="0" applyFill="1" applyBorder="1" applyAlignment="1" applyProtection="1">
      <alignment horizontal="center"/>
      <protection locked="0"/>
    </xf>
    <xf numFmtId="0" fontId="0" fillId="3" borderId="8" xfId="0" applyFill="1" applyBorder="1" applyAlignment="1" applyProtection="1">
      <alignment horizontal="center"/>
      <protection locked="0"/>
    </xf>
    <xf numFmtId="0" fontId="0" fillId="3" borderId="78" xfId="0" applyFill="1" applyBorder="1" applyAlignment="1" applyProtection="1">
      <alignment horizontal="center"/>
      <protection locked="0"/>
    </xf>
    <xf numFmtId="0" fontId="0" fillId="2" borderId="79" xfId="0" applyFill="1" applyBorder="1" applyAlignment="1">
      <alignment horizontal="center"/>
    </xf>
    <xf numFmtId="0" fontId="0" fillId="3" borderId="80" xfId="0" applyFill="1" applyBorder="1" applyAlignment="1" applyProtection="1">
      <alignment horizontal="center"/>
      <protection locked="0"/>
    </xf>
    <xf numFmtId="0" fontId="0" fillId="2" borderId="81" xfId="0" applyFill="1" applyBorder="1"/>
    <xf numFmtId="0" fontId="0" fillId="2" borderId="61" xfId="0" applyFill="1" applyBorder="1"/>
    <xf numFmtId="0" fontId="0" fillId="0" borderId="19" xfId="0" applyBorder="1" applyAlignment="1">
      <alignment horizontal="center"/>
    </xf>
    <xf numFmtId="0" fontId="0" fillId="2" borderId="48" xfId="0" applyFill="1" applyBorder="1" applyAlignment="1">
      <alignment horizontal="center"/>
    </xf>
    <xf numFmtId="0" fontId="0" fillId="2" borderId="82" xfId="0" applyFill="1" applyBorder="1"/>
    <xf numFmtId="0" fontId="0" fillId="2" borderId="83" xfId="0" applyFill="1" applyBorder="1"/>
    <xf numFmtId="0" fontId="0" fillId="3" borderId="84" xfId="0" applyFill="1" applyBorder="1" applyAlignment="1" applyProtection="1">
      <alignment horizontal="center"/>
      <protection locked="0"/>
    </xf>
    <xf numFmtId="0" fontId="0" fillId="2" borderId="85" xfId="0" applyFill="1" applyBorder="1"/>
    <xf numFmtId="0" fontId="0" fillId="2" borderId="86" xfId="0" applyFill="1" applyBorder="1"/>
    <xf numFmtId="0" fontId="0" fillId="3" borderId="82" xfId="0" applyFill="1" applyBorder="1" applyAlignment="1" applyProtection="1">
      <alignment horizontal="center"/>
      <protection locked="0"/>
    </xf>
    <xf numFmtId="0" fontId="0" fillId="2" borderId="69" xfId="0" applyFill="1" applyBorder="1" applyAlignment="1">
      <alignment horizontal="center"/>
    </xf>
    <xf numFmtId="0" fontId="0" fillId="2" borderId="87" xfId="0" applyFill="1" applyBorder="1" applyAlignment="1">
      <alignment horizontal="center"/>
    </xf>
    <xf numFmtId="0" fontId="0" fillId="2" borderId="88" xfId="0" applyFill="1" applyBorder="1" applyAlignment="1">
      <alignment horizontal="center"/>
    </xf>
    <xf numFmtId="0" fontId="0" fillId="2" borderId="89" xfId="0" applyFill="1" applyBorder="1" applyAlignment="1">
      <alignment horizontal="center"/>
    </xf>
    <xf numFmtId="0" fontId="0" fillId="2" borderId="90" xfId="0" applyFill="1" applyBorder="1" applyAlignment="1">
      <alignment horizontal="center"/>
    </xf>
    <xf numFmtId="0" fontId="16" fillId="2" borderId="82" xfId="1" applyFill="1" applyBorder="1" applyAlignment="1" applyProtection="1"/>
    <xf numFmtId="0" fontId="22" fillId="2" borderId="83" xfId="0" applyFont="1" applyFill="1" applyBorder="1"/>
    <xf numFmtId="0" fontId="16" fillId="2" borderId="83" xfId="1" applyFill="1" applyBorder="1" applyAlignment="1" applyProtection="1"/>
    <xf numFmtId="0" fontId="6" fillId="3" borderId="1" xfId="0" applyFont="1" applyFill="1" applyBorder="1" applyAlignment="1" applyProtection="1">
      <alignment horizontal="center"/>
      <protection locked="0"/>
    </xf>
    <xf numFmtId="0" fontId="0" fillId="3" borderId="28" xfId="0" applyFill="1" applyBorder="1" applyProtection="1">
      <protection locked="0"/>
    </xf>
    <xf numFmtId="0" fontId="0" fillId="0" borderId="0" xfId="0" applyAlignment="1">
      <alignment horizontal="left"/>
    </xf>
    <xf numFmtId="0" fontId="0" fillId="2" borderId="91" xfId="0" applyFill="1" applyBorder="1" applyAlignment="1">
      <alignment horizontal="center"/>
    </xf>
    <xf numFmtId="0" fontId="0" fillId="3" borderId="19" xfId="0" applyFill="1" applyBorder="1" applyAlignment="1" applyProtection="1">
      <alignment horizontal="center" vertical="center"/>
      <protection locked="0"/>
    </xf>
    <xf numFmtId="0" fontId="0" fillId="2" borderId="92" xfId="0" applyFill="1" applyBorder="1" applyAlignment="1">
      <alignment horizontal="center"/>
    </xf>
    <xf numFmtId="0" fontId="0" fillId="2" borderId="84" xfId="0" applyFill="1" applyBorder="1"/>
    <xf numFmtId="0" fontId="0" fillId="3" borderId="84" xfId="0" applyFill="1" applyBorder="1" applyAlignment="1" applyProtection="1">
      <alignment horizontal="center" vertical="center"/>
      <protection locked="0"/>
    </xf>
    <xf numFmtId="0" fontId="0" fillId="2" borderId="5" xfId="0" applyFill="1" applyBorder="1"/>
    <xf numFmtId="0" fontId="0" fillId="2" borderId="30" xfId="0" applyFill="1" applyBorder="1"/>
    <xf numFmtId="0" fontId="0" fillId="2" borderId="93" xfId="0" applyFill="1" applyBorder="1"/>
    <xf numFmtId="0" fontId="0" fillId="2" borderId="24" xfId="0" applyFill="1" applyBorder="1" applyAlignment="1">
      <alignment horizontal="center"/>
    </xf>
    <xf numFmtId="0" fontId="0" fillId="2" borderId="29" xfId="0" applyFill="1" applyBorder="1" applyAlignment="1">
      <alignment horizontal="center"/>
    </xf>
    <xf numFmtId="0" fontId="0" fillId="2" borderId="35" xfId="0" applyFill="1" applyBorder="1" applyAlignment="1">
      <alignment horizontal="center"/>
    </xf>
    <xf numFmtId="0" fontId="0" fillId="2" borderId="25" xfId="0" applyFill="1" applyBorder="1" applyAlignment="1">
      <alignment horizontal="center"/>
    </xf>
    <xf numFmtId="0" fontId="4" fillId="7" borderId="40" xfId="0" applyFont="1" applyFill="1" applyBorder="1" applyAlignment="1">
      <alignment horizontal="center"/>
    </xf>
    <xf numFmtId="0" fontId="4" fillId="7" borderId="37" xfId="0" applyFont="1" applyFill="1" applyBorder="1" applyAlignment="1">
      <alignment horizontal="center"/>
    </xf>
    <xf numFmtId="0" fontId="4" fillId="7" borderId="24" xfId="0" applyFont="1" applyFill="1" applyBorder="1" applyAlignment="1">
      <alignment horizontal="center"/>
    </xf>
    <xf numFmtId="0" fontId="4" fillId="7" borderId="7" xfId="0" applyFont="1" applyFill="1" applyBorder="1" applyAlignment="1">
      <alignment horizontal="center"/>
    </xf>
    <xf numFmtId="0" fontId="4" fillId="7" borderId="34" xfId="0" applyFont="1" applyFill="1" applyBorder="1" applyAlignment="1">
      <alignment horizontal="center"/>
    </xf>
    <xf numFmtId="0" fontId="4" fillId="2" borderId="1" xfId="0" applyFont="1" applyFill="1" applyBorder="1"/>
    <xf numFmtId="0" fontId="0" fillId="2" borderId="0" xfId="0" quotePrefix="1" applyFill="1"/>
    <xf numFmtId="0" fontId="0" fillId="2" borderId="94" xfId="0" applyFill="1" applyBorder="1"/>
    <xf numFmtId="0" fontId="0" fillId="3" borderId="35" xfId="0" applyFill="1" applyBorder="1" applyAlignment="1" applyProtection="1">
      <alignment horizontal="center"/>
      <protection locked="0"/>
    </xf>
    <xf numFmtId="0" fontId="0" fillId="2" borderId="18" xfId="0" applyFill="1" applyBorder="1"/>
    <xf numFmtId="0" fontId="0" fillId="3" borderId="37" xfId="0" applyFill="1" applyBorder="1" applyAlignment="1" applyProtection="1">
      <alignment horizontal="center"/>
      <protection locked="0"/>
    </xf>
    <xf numFmtId="0" fontId="0" fillId="0" borderId="95" xfId="0" applyBorder="1" applyAlignment="1">
      <alignment horizontal="center"/>
    </xf>
    <xf numFmtId="0" fontId="0" fillId="0" borderId="96" xfId="0" applyBorder="1" applyAlignment="1">
      <alignment horizontal="center"/>
    </xf>
    <xf numFmtId="0" fontId="0" fillId="0" borderId="16" xfId="0" applyBorder="1" applyAlignment="1">
      <alignment horizontal="center"/>
    </xf>
    <xf numFmtId="0" fontId="0" fillId="2" borderId="20" xfId="0" applyFill="1" applyBorder="1" applyProtection="1"/>
    <xf numFmtId="0" fontId="4" fillId="3" borderId="48" xfId="0" applyFont="1" applyFill="1" applyBorder="1" applyAlignment="1" applyProtection="1">
      <alignment horizontal="center"/>
      <protection locked="0"/>
    </xf>
    <xf numFmtId="0" fontId="4" fillId="3" borderId="10" xfId="0" applyFont="1" applyFill="1" applyBorder="1" applyAlignment="1" applyProtection="1">
      <alignment horizontal="center"/>
      <protection locked="0"/>
    </xf>
    <xf numFmtId="0" fontId="4" fillId="3" borderId="1" xfId="0" applyFont="1" applyFill="1" applyBorder="1" applyAlignment="1" applyProtection="1">
      <alignment horizontal="center"/>
      <protection locked="0"/>
    </xf>
    <xf numFmtId="0" fontId="16" fillId="2" borderId="8" xfId="1" applyFill="1" applyBorder="1" applyAlignment="1" applyProtection="1">
      <alignment horizontal="center"/>
    </xf>
    <xf numFmtId="0" fontId="0" fillId="3" borderId="1" xfId="0" applyFill="1" applyBorder="1" applyAlignment="1" applyProtection="1">
      <protection locked="0"/>
    </xf>
    <xf numFmtId="49" fontId="0" fillId="2" borderId="0" xfId="0" applyNumberFormat="1" applyFill="1" applyAlignment="1">
      <alignment horizontal="center"/>
    </xf>
    <xf numFmtId="0" fontId="10" fillId="2" borderId="19" xfId="0" applyFont="1" applyFill="1" applyBorder="1"/>
    <xf numFmtId="20" fontId="0" fillId="2" borderId="0" xfId="0" applyNumberFormat="1" applyFill="1" applyAlignment="1">
      <alignment horizontal="right"/>
    </xf>
    <xf numFmtId="0" fontId="0" fillId="3" borderId="27" xfId="0" applyFill="1" applyBorder="1" applyProtection="1">
      <protection locked="0"/>
    </xf>
    <xf numFmtId="0" fontId="0" fillId="2" borderId="62" xfId="0" applyFill="1" applyBorder="1"/>
    <xf numFmtId="0" fontId="0" fillId="3" borderId="12" xfId="0" applyFill="1" applyBorder="1" applyAlignment="1" applyProtection="1">
      <alignment horizontal="center"/>
      <protection locked="0"/>
    </xf>
    <xf numFmtId="0" fontId="0" fillId="2" borderId="4" xfId="0" quotePrefix="1" applyFill="1" applyBorder="1"/>
    <xf numFmtId="0" fontId="23" fillId="2" borderId="0" xfId="1" applyFont="1" applyFill="1" applyAlignment="1" applyProtection="1">
      <alignment horizontal="center"/>
    </xf>
    <xf numFmtId="0" fontId="24" fillId="2" borderId="0" xfId="1" applyFont="1" applyFill="1" applyAlignment="1" applyProtection="1"/>
    <xf numFmtId="0" fontId="24" fillId="2" borderId="19" xfId="1" applyFont="1" applyFill="1" applyBorder="1" applyAlignment="1" applyProtection="1"/>
    <xf numFmtId="0" fontId="0" fillId="2" borderId="16" xfId="0" applyFill="1" applyBorder="1" applyAlignment="1">
      <alignment horizontal="left"/>
    </xf>
    <xf numFmtId="0" fontId="10" fillId="2" borderId="0" xfId="0" applyFont="1" applyFill="1" applyBorder="1"/>
    <xf numFmtId="0" fontId="0" fillId="2" borderId="0" xfId="0" applyFill="1" applyProtection="1"/>
    <xf numFmtId="0" fontId="10" fillId="2" borderId="0" xfId="0" applyFont="1" applyFill="1" applyBorder="1" applyProtection="1"/>
    <xf numFmtId="0" fontId="0" fillId="2" borderId="0" xfId="0" applyFill="1" applyBorder="1" applyAlignment="1" applyProtection="1">
      <alignment horizontal="center"/>
    </xf>
    <xf numFmtId="0" fontId="0" fillId="2" borderId="0" xfId="0" applyFill="1" applyAlignment="1" applyProtection="1">
      <alignment horizontal="center"/>
    </xf>
    <xf numFmtId="0" fontId="0" fillId="2" borderId="0" xfId="0" applyFill="1" applyBorder="1" applyAlignment="1" applyProtection="1">
      <alignment horizontal="left"/>
    </xf>
    <xf numFmtId="0" fontId="6" fillId="2" borderId="0" xfId="0" applyFont="1" applyFill="1" applyBorder="1" applyProtection="1"/>
    <xf numFmtId="0" fontId="6" fillId="2" borderId="1" xfId="0" applyFont="1" applyFill="1" applyBorder="1" applyProtection="1"/>
    <xf numFmtId="0" fontId="24" fillId="2" borderId="0" xfId="1" applyFont="1" applyFill="1" applyBorder="1" applyAlignment="1" applyProtection="1"/>
    <xf numFmtId="0" fontId="0" fillId="2" borderId="97" xfId="0" applyFill="1" applyBorder="1" applyAlignment="1">
      <alignment horizontal="center"/>
    </xf>
    <xf numFmtId="0" fontId="0" fillId="2" borderId="75" xfId="0" applyFill="1" applyBorder="1"/>
    <xf numFmtId="0" fontId="4" fillId="2" borderId="17" xfId="0" applyFont="1" applyFill="1" applyBorder="1"/>
    <xf numFmtId="0" fontId="0" fillId="3" borderId="19" xfId="0" applyFill="1" applyBorder="1" applyAlignment="1" applyProtection="1">
      <alignment horizontal="center"/>
      <protection locked="0"/>
    </xf>
    <xf numFmtId="0" fontId="0" fillId="2" borderId="19" xfId="0" quotePrefix="1" applyFill="1" applyBorder="1"/>
    <xf numFmtId="0" fontId="0" fillId="2" borderId="98" xfId="0" applyFill="1" applyBorder="1"/>
    <xf numFmtId="0" fontId="0" fillId="0" borderId="21" xfId="0" applyBorder="1"/>
    <xf numFmtId="0" fontId="0" fillId="2" borderId="99" xfId="0" applyFill="1" applyBorder="1"/>
    <xf numFmtId="0" fontId="0" fillId="2" borderId="100" xfId="0" applyFill="1" applyBorder="1"/>
    <xf numFmtId="0" fontId="0" fillId="2" borderId="101" xfId="0" applyFill="1" applyBorder="1"/>
    <xf numFmtId="0" fontId="0" fillId="2" borderId="102" xfId="0" applyFill="1" applyBorder="1"/>
    <xf numFmtId="0" fontId="0" fillId="2" borderId="103" xfId="0" applyFill="1" applyBorder="1"/>
    <xf numFmtId="0" fontId="0" fillId="3" borderId="4" xfId="0" applyFill="1" applyBorder="1" applyProtection="1">
      <protection locked="0"/>
    </xf>
    <xf numFmtId="0" fontId="0" fillId="3" borderId="104" xfId="0" applyFill="1" applyBorder="1" applyProtection="1">
      <protection locked="0"/>
    </xf>
    <xf numFmtId="0" fontId="16" fillId="2" borderId="13" xfId="1" applyFill="1" applyBorder="1" applyAlignment="1" applyProtection="1"/>
    <xf numFmtId="0" fontId="0" fillId="2" borderId="105" xfId="0" applyFill="1" applyBorder="1"/>
    <xf numFmtId="0" fontId="0" fillId="2" borderId="106" xfId="0" applyFill="1" applyBorder="1"/>
    <xf numFmtId="0" fontId="0" fillId="2" borderId="107" xfId="0" applyFill="1" applyBorder="1"/>
    <xf numFmtId="0" fontId="0" fillId="2" borderId="105" xfId="0" quotePrefix="1" applyFill="1" applyBorder="1"/>
    <xf numFmtId="0" fontId="0" fillId="2" borderId="108" xfId="0" applyFill="1" applyBorder="1"/>
    <xf numFmtId="0" fontId="0" fillId="3" borderId="24" xfId="0" applyFill="1" applyBorder="1" applyProtection="1">
      <protection locked="0"/>
    </xf>
    <xf numFmtId="0" fontId="0" fillId="3" borderId="109" xfId="0" applyFill="1" applyBorder="1" applyProtection="1">
      <protection locked="0"/>
    </xf>
    <xf numFmtId="0" fontId="14" fillId="2" borderId="0" xfId="0" applyFont="1" applyFill="1" applyAlignment="1">
      <alignment horizontal="center"/>
    </xf>
    <xf numFmtId="0" fontId="0" fillId="0" borderId="25" xfId="0" applyBorder="1"/>
    <xf numFmtId="0" fontId="0" fillId="2" borderId="110" xfId="0" applyFill="1" applyBorder="1"/>
    <xf numFmtId="0" fontId="0" fillId="0" borderId="70" xfId="0" applyBorder="1"/>
    <xf numFmtId="0" fontId="0" fillId="2" borderId="111" xfId="0" applyFill="1" applyBorder="1"/>
    <xf numFmtId="0" fontId="0" fillId="2" borderId="78" xfId="0" applyFill="1" applyBorder="1"/>
    <xf numFmtId="0" fontId="0" fillId="2" borderId="87" xfId="0" applyFill="1" applyBorder="1"/>
    <xf numFmtId="0" fontId="0" fillId="2" borderId="68" xfId="0" applyFill="1" applyBorder="1"/>
    <xf numFmtId="0" fontId="0" fillId="3" borderId="112" xfId="0" applyFill="1" applyBorder="1" applyProtection="1">
      <protection locked="0"/>
    </xf>
    <xf numFmtId="0" fontId="0" fillId="3" borderId="113" xfId="0" applyFill="1" applyBorder="1" applyProtection="1">
      <protection locked="0"/>
    </xf>
    <xf numFmtId="0" fontId="25" fillId="4" borderId="0" xfId="1" applyFont="1" applyFill="1" applyAlignment="1" applyProtection="1">
      <alignment horizontal="center"/>
    </xf>
    <xf numFmtId="0" fontId="0" fillId="4" borderId="28" xfId="0" applyFill="1" applyBorder="1" applyAlignment="1">
      <alignment horizontal="center"/>
    </xf>
    <xf numFmtId="0" fontId="0" fillId="4" borderId="1" xfId="0" applyFill="1" applyBorder="1" applyAlignment="1">
      <alignment horizontal="center"/>
    </xf>
    <xf numFmtId="0" fontId="16" fillId="2" borderId="4" xfId="1" applyFont="1" applyFill="1" applyBorder="1" applyAlignment="1" applyProtection="1"/>
    <xf numFmtId="0" fontId="16" fillId="2" borderId="105" xfId="1" applyFill="1" applyBorder="1" applyAlignment="1" applyProtection="1"/>
    <xf numFmtId="0" fontId="0" fillId="0" borderId="0" xfId="0" applyAlignment="1">
      <alignment horizontal="right"/>
    </xf>
    <xf numFmtId="0" fontId="11" fillId="2" borderId="0" xfId="0" applyFont="1" applyFill="1" applyAlignment="1">
      <alignment horizontal="center"/>
    </xf>
    <xf numFmtId="0" fontId="0" fillId="3" borderId="40" xfId="0" applyFill="1" applyBorder="1" applyAlignment="1" applyProtection="1">
      <alignment horizontal="center"/>
      <protection locked="0"/>
    </xf>
    <xf numFmtId="0" fontId="0" fillId="3" borderId="24" xfId="0" applyFill="1" applyBorder="1" applyAlignment="1" applyProtection="1">
      <alignment horizontal="center"/>
      <protection locked="0"/>
    </xf>
    <xf numFmtId="164" fontId="0" fillId="2" borderId="1" xfId="0" applyNumberFormat="1" applyFill="1" applyBorder="1" applyAlignment="1">
      <alignment horizontal="center"/>
    </xf>
    <xf numFmtId="164" fontId="0" fillId="2" borderId="0" xfId="0" applyNumberFormat="1" applyFill="1" applyAlignment="1">
      <alignment horizontal="center"/>
    </xf>
    <xf numFmtId="164" fontId="0" fillId="7" borderId="1" xfId="0" applyNumberFormat="1" applyFill="1" applyBorder="1" applyAlignment="1">
      <alignment horizontal="center"/>
    </xf>
    <xf numFmtId="0" fontId="11" fillId="2" borderId="23" xfId="0" applyFont="1" applyFill="1" applyBorder="1" applyAlignment="1">
      <alignment horizontal="center"/>
    </xf>
    <xf numFmtId="0" fontId="11" fillId="2" borderId="0" xfId="0" applyFont="1" applyFill="1" applyBorder="1" applyAlignment="1">
      <alignment horizontal="center"/>
    </xf>
    <xf numFmtId="0" fontId="1" fillId="2" borderId="7" xfId="0" applyFont="1" applyFill="1" applyBorder="1" applyAlignment="1">
      <alignment horizontal="left"/>
    </xf>
    <xf numFmtId="0" fontId="0" fillId="6" borderId="0" xfId="0" applyFill="1" applyAlignment="1">
      <alignment horizontal="center"/>
    </xf>
    <xf numFmtId="0" fontId="2" fillId="2" borderId="0" xfId="0" applyFont="1" applyFill="1" applyBorder="1"/>
    <xf numFmtId="0" fontId="2" fillId="2" borderId="0" xfId="0" applyFont="1" applyFill="1"/>
    <xf numFmtId="0" fontId="0" fillId="4" borderId="7" xfId="0" applyFill="1" applyBorder="1" applyAlignment="1">
      <alignment horizontal="center"/>
    </xf>
    <xf numFmtId="0" fontId="0" fillId="4" borderId="29" xfId="0" applyFill="1" applyBorder="1" applyAlignment="1">
      <alignment horizontal="center"/>
    </xf>
    <xf numFmtId="0" fontId="6" fillId="3" borderId="20" xfId="0" applyFont="1" applyFill="1" applyBorder="1" applyAlignment="1" applyProtection="1">
      <alignment horizontal="center"/>
      <protection locked="0"/>
    </xf>
    <xf numFmtId="0" fontId="0" fillId="10" borderId="0" xfId="0" applyFill="1"/>
    <xf numFmtId="0" fontId="6" fillId="3" borderId="28" xfId="0" applyFont="1" applyFill="1" applyBorder="1" applyProtection="1">
      <protection locked="0"/>
    </xf>
    <xf numFmtId="0" fontId="6" fillId="0" borderId="0" xfId="0" applyFont="1"/>
    <xf numFmtId="0" fontId="6" fillId="2" borderId="0" xfId="0" applyFont="1" applyFill="1" applyAlignment="1">
      <alignment horizontal="right"/>
    </xf>
    <xf numFmtId="0" fontId="6" fillId="2" borderId="0" xfId="0" applyFont="1" applyFill="1" applyAlignment="1">
      <alignment horizontal="center"/>
    </xf>
    <xf numFmtId="0" fontId="6" fillId="2" borderId="28" xfId="0" applyFont="1" applyFill="1" applyBorder="1"/>
    <xf numFmtId="0" fontId="6" fillId="2" borderId="33" xfId="0" applyFont="1" applyFill="1" applyBorder="1"/>
    <xf numFmtId="0" fontId="6" fillId="2" borderId="17" xfId="0" applyFont="1" applyFill="1" applyBorder="1" applyAlignment="1">
      <alignment wrapText="1"/>
    </xf>
    <xf numFmtId="0" fontId="6" fillId="2" borderId="17" xfId="0" applyFont="1" applyFill="1" applyBorder="1"/>
    <xf numFmtId="0" fontId="6" fillId="2" borderId="10" xfId="0" applyFont="1" applyFill="1" applyBorder="1"/>
    <xf numFmtId="0" fontId="6" fillId="2" borderId="41" xfId="0" applyFont="1" applyFill="1" applyBorder="1"/>
    <xf numFmtId="0" fontId="0" fillId="2" borderId="41" xfId="0" applyFill="1" applyBorder="1"/>
    <xf numFmtId="0" fontId="6" fillId="10" borderId="0" xfId="0" applyFont="1" applyFill="1"/>
    <xf numFmtId="0" fontId="6" fillId="0" borderId="23" xfId="0" applyFont="1" applyBorder="1"/>
    <xf numFmtId="0" fontId="6" fillId="10" borderId="5" xfId="0" applyFont="1" applyFill="1" applyBorder="1"/>
    <xf numFmtId="0" fontId="6" fillId="3" borderId="20" xfId="0" applyFont="1" applyFill="1" applyBorder="1" applyAlignment="1" applyProtection="1">
      <alignment horizontal="center" vertical="center"/>
      <protection locked="0"/>
    </xf>
    <xf numFmtId="0" fontId="6" fillId="3" borderId="1" xfId="0" applyFont="1" applyFill="1" applyBorder="1" applyAlignment="1" applyProtection="1">
      <alignment horizontal="center" vertical="center"/>
      <protection locked="0"/>
    </xf>
    <xf numFmtId="0" fontId="6" fillId="3" borderId="4" xfId="0" applyFont="1" applyFill="1" applyBorder="1" applyAlignment="1" applyProtection="1">
      <alignment horizontal="center" vertical="center"/>
      <protection locked="0"/>
    </xf>
    <xf numFmtId="0" fontId="6" fillId="3" borderId="60" xfId="0" applyFont="1" applyFill="1" applyBorder="1" applyAlignment="1" applyProtection="1">
      <alignment horizontal="center" vertical="center"/>
      <protection locked="0"/>
    </xf>
    <xf numFmtId="0" fontId="6" fillId="3" borderId="34" xfId="0" applyFont="1" applyFill="1" applyBorder="1" applyAlignment="1" applyProtection="1">
      <alignment horizontal="center" vertical="center"/>
      <protection locked="0"/>
    </xf>
    <xf numFmtId="0" fontId="6" fillId="3" borderId="10" xfId="0" applyFont="1" applyFill="1" applyBorder="1" applyAlignment="1" applyProtection="1">
      <alignment horizontal="center" vertical="center"/>
      <protection locked="0"/>
    </xf>
    <xf numFmtId="0" fontId="6" fillId="2" borderId="1" xfId="0" applyFont="1" applyFill="1" applyBorder="1" applyAlignment="1">
      <alignment horizontal="left"/>
    </xf>
    <xf numFmtId="0" fontId="1" fillId="2" borderId="16" xfId="0" applyFont="1" applyFill="1" applyBorder="1" applyAlignment="1">
      <alignment horizontal="left" wrapText="1"/>
    </xf>
    <xf numFmtId="0" fontId="6" fillId="2" borderId="0" xfId="0" applyFont="1" applyFill="1" applyBorder="1" applyAlignment="1">
      <alignment horizontal="center"/>
    </xf>
    <xf numFmtId="0" fontId="6" fillId="2" borderId="0" xfId="0" applyFont="1" applyFill="1" applyBorder="1" applyAlignment="1">
      <alignment horizontal="left"/>
    </xf>
    <xf numFmtId="0" fontId="6" fillId="2" borderId="0" xfId="0" applyFont="1" applyFill="1" applyBorder="1" applyAlignment="1">
      <alignment horizontal="left" wrapText="1"/>
    </xf>
    <xf numFmtId="0" fontId="0" fillId="10" borderId="0" xfId="0" applyFill="1" applyBorder="1" applyAlignment="1">
      <alignment horizontal="center"/>
    </xf>
    <xf numFmtId="0" fontId="0" fillId="10" borderId="114" xfId="0" applyFill="1" applyBorder="1" applyAlignment="1">
      <alignment horizontal="center"/>
    </xf>
    <xf numFmtId="0" fontId="0" fillId="10" borderId="114" xfId="0" applyFill="1" applyBorder="1"/>
    <xf numFmtId="0" fontId="6" fillId="11" borderId="1" xfId="0" applyFont="1" applyFill="1" applyBorder="1" applyAlignment="1" applyProtection="1">
      <alignment wrapText="1"/>
      <protection locked="0"/>
    </xf>
    <xf numFmtId="0" fontId="22" fillId="2" borderId="1" xfId="0" applyFont="1" applyFill="1" applyBorder="1"/>
    <xf numFmtId="0" fontId="6" fillId="0" borderId="1" xfId="0" applyFont="1" applyBorder="1" applyAlignment="1">
      <alignment wrapText="1"/>
    </xf>
    <xf numFmtId="0" fontId="10" fillId="10" borderId="0" xfId="0" applyFont="1" applyFill="1"/>
    <xf numFmtId="0" fontId="0" fillId="0" borderId="0" xfId="0" applyFill="1"/>
    <xf numFmtId="0" fontId="16" fillId="10" borderId="0" xfId="1" applyFill="1" applyBorder="1" applyAlignment="1" applyProtection="1"/>
    <xf numFmtId="0" fontId="0" fillId="10" borderId="0" xfId="0" applyFill="1" applyBorder="1"/>
    <xf numFmtId="0" fontId="6" fillId="2" borderId="19" xfId="0" applyFont="1" applyFill="1" applyBorder="1" applyAlignment="1">
      <alignment horizontal="center"/>
    </xf>
    <xf numFmtId="0" fontId="6" fillId="2" borderId="23" xfId="0" applyFont="1" applyFill="1" applyBorder="1" applyAlignment="1">
      <alignment horizontal="center"/>
    </xf>
    <xf numFmtId="0" fontId="6" fillId="11" borderId="1" xfId="0" applyFont="1" applyFill="1" applyBorder="1" applyProtection="1">
      <protection locked="0"/>
    </xf>
    <xf numFmtId="0" fontId="6" fillId="2" borderId="1" xfId="0" applyFont="1" applyFill="1" applyBorder="1" applyAlignment="1">
      <alignment horizontal="center"/>
    </xf>
    <xf numFmtId="0" fontId="6" fillId="2" borderId="114" xfId="0" applyFont="1" applyFill="1" applyBorder="1" applyAlignment="1">
      <alignment horizontal="center"/>
    </xf>
    <xf numFmtId="0" fontId="6" fillId="10" borderId="0" xfId="0" applyFont="1" applyFill="1" applyBorder="1" applyAlignment="1" applyProtection="1">
      <alignment horizontal="center"/>
      <protection locked="0"/>
    </xf>
    <xf numFmtId="0" fontId="0" fillId="10" borderId="0" xfId="0" applyFill="1" applyAlignment="1">
      <alignment horizontal="center"/>
    </xf>
    <xf numFmtId="2" fontId="0" fillId="10" borderId="0" xfId="0" applyNumberFormat="1" applyFill="1"/>
    <xf numFmtId="0" fontId="0" fillId="10" borderId="0" xfId="0" applyFill="1" applyBorder="1" applyAlignment="1" applyProtection="1">
      <alignment horizontal="center"/>
      <protection locked="0"/>
    </xf>
    <xf numFmtId="0" fontId="26" fillId="2" borderId="0" xfId="1" applyFont="1" applyFill="1" applyAlignment="1" applyProtection="1">
      <alignment horizontal="left"/>
    </xf>
    <xf numFmtId="0" fontId="26" fillId="0" borderId="0" xfId="1" applyFont="1" applyAlignment="1" applyProtection="1"/>
    <xf numFmtId="0" fontId="6" fillId="2" borderId="0" xfId="0" applyFont="1" applyFill="1" applyProtection="1"/>
    <xf numFmtId="0" fontId="6" fillId="3" borderId="17" xfId="0" applyFont="1" applyFill="1" applyBorder="1" applyProtection="1">
      <protection locked="0"/>
    </xf>
    <xf numFmtId="0" fontId="6" fillId="2" borderId="17" xfId="0" applyFont="1" applyFill="1" applyBorder="1" applyProtection="1"/>
    <xf numFmtId="0" fontId="0" fillId="0" borderId="27" xfId="0" applyBorder="1"/>
    <xf numFmtId="0" fontId="0" fillId="10" borderId="28" xfId="0" applyFill="1" applyBorder="1"/>
    <xf numFmtId="0" fontId="0" fillId="10" borderId="27" xfId="0" applyFill="1" applyBorder="1"/>
    <xf numFmtId="0" fontId="26" fillId="3" borderId="1" xfId="1" applyFont="1" applyFill="1" applyBorder="1" applyAlignment="1" applyProtection="1">
      <alignment horizontal="center"/>
      <protection locked="0"/>
    </xf>
    <xf numFmtId="0" fontId="27" fillId="13" borderId="0" xfId="0" applyFont="1" applyFill="1"/>
    <xf numFmtId="0" fontId="6" fillId="3" borderId="4" xfId="0" applyFont="1" applyFill="1" applyBorder="1" applyAlignment="1" applyProtection="1">
      <alignment horizontal="center"/>
      <protection locked="0"/>
    </xf>
    <xf numFmtId="0" fontId="26" fillId="2" borderId="0" xfId="1" applyFont="1" applyFill="1" applyAlignment="1" applyProtection="1"/>
    <xf numFmtId="0" fontId="6" fillId="2" borderId="4" xfId="0" applyFont="1" applyFill="1" applyBorder="1"/>
    <xf numFmtId="0" fontId="6" fillId="2" borderId="7" xfId="0" applyFont="1" applyFill="1" applyBorder="1"/>
    <xf numFmtId="0" fontId="6" fillId="2" borderId="1" xfId="0" applyFont="1" applyFill="1" applyBorder="1"/>
    <xf numFmtId="0" fontId="6" fillId="2" borderId="8" xfId="0" applyFont="1" applyFill="1" applyBorder="1" applyAlignment="1">
      <alignment horizontal="center"/>
    </xf>
    <xf numFmtId="0" fontId="6" fillId="11" borderId="7" xfId="0" applyFont="1" applyFill="1" applyBorder="1" applyAlignment="1">
      <alignment horizontal="center"/>
    </xf>
    <xf numFmtId="0" fontId="6" fillId="11" borderId="1" xfId="0" applyFont="1" applyFill="1" applyBorder="1" applyAlignment="1">
      <alignment horizontal="center"/>
    </xf>
    <xf numFmtId="0" fontId="28" fillId="2" borderId="0" xfId="0" applyFont="1" applyFill="1"/>
    <xf numFmtId="0" fontId="26" fillId="2" borderId="7" xfId="1" applyFont="1" applyFill="1" applyBorder="1" applyAlignment="1" applyProtection="1">
      <alignment horizontal="center" vertical="center" wrapText="1"/>
    </xf>
    <xf numFmtId="0" fontId="6" fillId="3" borderId="1" xfId="0" applyFont="1" applyFill="1" applyBorder="1" applyProtection="1">
      <protection locked="0"/>
    </xf>
    <xf numFmtId="0" fontId="6" fillId="3" borderId="7" xfId="0" applyFont="1" applyFill="1" applyBorder="1" applyAlignment="1" applyProtection="1">
      <alignment horizontal="center"/>
      <protection locked="0"/>
    </xf>
    <xf numFmtId="0" fontId="6" fillId="3" borderId="22" xfId="0" applyFont="1" applyFill="1" applyBorder="1" applyAlignment="1" applyProtection="1">
      <alignment horizontal="center" vertical="center"/>
      <protection locked="0"/>
    </xf>
    <xf numFmtId="0" fontId="6" fillId="3" borderId="2" xfId="0" applyFont="1" applyFill="1" applyBorder="1" applyAlignment="1" applyProtection="1">
      <alignment horizontal="center" vertical="center"/>
      <protection locked="0"/>
    </xf>
    <xf numFmtId="0" fontId="6" fillId="3" borderId="11" xfId="0" applyFont="1" applyFill="1" applyBorder="1" applyAlignment="1" applyProtection="1">
      <alignment horizontal="center" vertical="center"/>
      <protection locked="0"/>
    </xf>
    <xf numFmtId="0" fontId="6" fillId="3" borderId="62" xfId="0" applyFont="1" applyFill="1" applyBorder="1" applyAlignment="1" applyProtection="1">
      <alignment horizontal="center" vertical="center"/>
      <protection locked="0"/>
    </xf>
    <xf numFmtId="0" fontId="6" fillId="3" borderId="17" xfId="0" applyFont="1" applyFill="1" applyBorder="1" applyAlignment="1" applyProtection="1">
      <alignment horizontal="center" vertical="center"/>
      <protection locked="0"/>
    </xf>
    <xf numFmtId="0" fontId="6" fillId="3" borderId="6" xfId="0" applyFont="1" applyFill="1" applyBorder="1" applyAlignment="1" applyProtection="1">
      <alignment horizontal="center"/>
      <protection locked="0"/>
    </xf>
    <xf numFmtId="0" fontId="26" fillId="2" borderId="1" xfId="1" applyFont="1" applyFill="1" applyBorder="1" applyAlignment="1" applyProtection="1">
      <alignment horizontal="center"/>
    </xf>
    <xf numFmtId="0" fontId="26" fillId="2" borderId="19" xfId="1" applyFont="1" applyFill="1" applyBorder="1" applyAlignment="1" applyProtection="1">
      <alignment horizontal="center"/>
    </xf>
    <xf numFmtId="0" fontId="16" fillId="10" borderId="114" xfId="1" applyFill="1" applyBorder="1" applyAlignment="1" applyProtection="1">
      <alignment horizontal="center"/>
    </xf>
    <xf numFmtId="0" fontId="16" fillId="10" borderId="0" xfId="1" applyFill="1" applyBorder="1" applyAlignment="1" applyProtection="1">
      <alignment horizontal="center"/>
    </xf>
    <xf numFmtId="2" fontId="6" fillId="3" borderId="1" xfId="0" applyNumberFormat="1" applyFont="1" applyFill="1" applyBorder="1" applyAlignment="1" applyProtection="1">
      <alignment horizontal="center"/>
      <protection locked="0"/>
    </xf>
    <xf numFmtId="0" fontId="26" fillId="2" borderId="1" xfId="1" applyFont="1" applyFill="1" applyBorder="1" applyAlignment="1" applyProtection="1"/>
    <xf numFmtId="2" fontId="26" fillId="2" borderId="7" xfId="1" applyNumberFormat="1" applyFont="1" applyFill="1" applyBorder="1" applyAlignment="1" applyProtection="1">
      <alignment horizontal="center"/>
    </xf>
    <xf numFmtId="0" fontId="29" fillId="2" borderId="19" xfId="1" applyFont="1" applyFill="1" applyBorder="1" applyAlignment="1" applyProtection="1">
      <alignment horizontal="center"/>
    </xf>
    <xf numFmtId="0" fontId="29" fillId="2" borderId="7" xfId="1" applyFont="1" applyFill="1" applyBorder="1" applyAlignment="1" applyProtection="1">
      <alignment horizontal="center"/>
    </xf>
    <xf numFmtId="0" fontId="26" fillId="12" borderId="0" xfId="1" applyFont="1" applyFill="1" applyAlignment="1" applyProtection="1"/>
    <xf numFmtId="0" fontId="26" fillId="2" borderId="20" xfId="1" applyFont="1" applyFill="1" applyBorder="1" applyAlignment="1" applyProtection="1">
      <alignment horizontal="center" vertical="center"/>
    </xf>
    <xf numFmtId="0" fontId="26" fillId="2" borderId="82" xfId="1" applyFont="1" applyFill="1" applyBorder="1" applyAlignment="1" applyProtection="1"/>
    <xf numFmtId="0" fontId="26" fillId="10" borderId="4" xfId="1" applyFont="1" applyFill="1" applyBorder="1" applyAlignment="1" applyProtection="1">
      <alignment horizontal="center"/>
    </xf>
    <xf numFmtId="0" fontId="26" fillId="10" borderId="7" xfId="1" applyFont="1" applyFill="1" applyBorder="1" applyAlignment="1" applyProtection="1">
      <alignment horizontal="center"/>
    </xf>
    <xf numFmtId="0" fontId="26" fillId="2" borderId="105" xfId="1" applyFont="1" applyFill="1" applyBorder="1" applyAlignment="1" applyProtection="1"/>
    <xf numFmtId="0" fontId="26" fillId="2" borderId="107" xfId="1" applyFont="1" applyFill="1" applyBorder="1" applyAlignment="1" applyProtection="1"/>
    <xf numFmtId="0" fontId="6" fillId="2" borderId="105" xfId="0" applyFont="1" applyFill="1" applyBorder="1"/>
    <xf numFmtId="0" fontId="6" fillId="3" borderId="19" xfId="0" applyFont="1" applyFill="1" applyBorder="1" applyAlignment="1" applyProtection="1">
      <alignment horizontal="center"/>
      <protection locked="0"/>
    </xf>
    <xf numFmtId="0" fontId="6" fillId="3" borderId="62" xfId="0" applyFont="1" applyFill="1" applyBorder="1" applyAlignment="1" applyProtection="1">
      <alignment horizontal="center"/>
      <protection locked="0"/>
    </xf>
    <xf numFmtId="0" fontId="6" fillId="3" borderId="3" xfId="0" applyFont="1" applyFill="1" applyBorder="1" applyAlignment="1" applyProtection="1">
      <alignment horizontal="center"/>
      <protection locked="0"/>
    </xf>
    <xf numFmtId="0" fontId="0" fillId="2" borderId="0" xfId="0" applyFont="1" applyFill="1"/>
    <xf numFmtId="0" fontId="0" fillId="2" borderId="1" xfId="0" applyFill="1" applyBorder="1" applyAlignment="1">
      <alignment vertical="top" wrapText="1"/>
    </xf>
    <xf numFmtId="0" fontId="0" fillId="2" borderId="19" xfId="0" applyFont="1" applyFill="1" applyBorder="1"/>
    <xf numFmtId="0" fontId="0" fillId="2" borderId="25" xfId="0" applyFont="1" applyFill="1" applyBorder="1"/>
    <xf numFmtId="0" fontId="0" fillId="0" borderId="0" xfId="0" applyFill="1" applyAlignment="1">
      <alignment vertical="top" wrapText="1"/>
    </xf>
    <xf numFmtId="0" fontId="0" fillId="0" borderId="1" xfId="0" applyFill="1" applyBorder="1" applyAlignment="1">
      <alignment wrapText="1"/>
    </xf>
    <xf numFmtId="0" fontId="0" fillId="0" borderId="1" xfId="0" applyFill="1" applyBorder="1" applyAlignment="1">
      <alignment vertical="top" wrapText="1"/>
    </xf>
    <xf numFmtId="0" fontId="0" fillId="2" borderId="8" xfId="0" applyFont="1" applyFill="1" applyBorder="1" applyAlignment="1">
      <alignment wrapText="1"/>
    </xf>
    <xf numFmtId="0" fontId="0" fillId="2" borderId="14" xfId="0" applyFont="1" applyFill="1" applyBorder="1" applyAlignment="1">
      <alignment wrapText="1"/>
    </xf>
    <xf numFmtId="0" fontId="0" fillId="2" borderId="0" xfId="0" quotePrefix="1" applyFont="1" applyFill="1" applyBorder="1" applyAlignment="1"/>
    <xf numFmtId="0" fontId="0" fillId="2" borderId="0" xfId="0" applyFont="1" applyFill="1" applyBorder="1" applyAlignment="1"/>
    <xf numFmtId="0" fontId="0" fillId="2" borderId="2" xfId="0" applyFill="1" applyBorder="1" applyAlignment="1">
      <alignment horizontal="left"/>
    </xf>
    <xf numFmtId="0" fontId="0" fillId="2" borderId="0" xfId="0" applyFont="1" applyFill="1" applyAlignment="1">
      <alignment wrapText="1"/>
    </xf>
    <xf numFmtId="0" fontId="0" fillId="2" borderId="1" xfId="0" applyFont="1" applyFill="1" applyBorder="1" applyAlignment="1">
      <alignment wrapText="1"/>
    </xf>
    <xf numFmtId="0" fontId="6" fillId="2" borderId="0" xfId="0" applyFont="1" applyFill="1" applyAlignment="1">
      <alignment vertical="top"/>
    </xf>
    <xf numFmtId="0" fontId="0" fillId="2" borderId="0" xfId="0" applyFont="1" applyFill="1" applyBorder="1" applyProtection="1"/>
    <xf numFmtId="0" fontId="6" fillId="2" borderId="0" xfId="0" applyFont="1" applyFill="1" applyAlignment="1" applyProtection="1">
      <alignment vertical="top"/>
    </xf>
    <xf numFmtId="0" fontId="0" fillId="2" borderId="1" xfId="0" applyFont="1" applyFill="1" applyBorder="1" applyProtection="1"/>
    <xf numFmtId="0" fontId="0" fillId="2" borderId="17" xfId="0" applyFont="1" applyFill="1" applyBorder="1" applyProtection="1"/>
    <xf numFmtId="0" fontId="0" fillId="10" borderId="27" xfId="1" applyFont="1" applyFill="1" applyBorder="1" applyAlignment="1" applyProtection="1"/>
    <xf numFmtId="0" fontId="4" fillId="2" borderId="0" xfId="0" applyFont="1" applyFill="1" applyAlignment="1">
      <alignment vertical="top"/>
    </xf>
    <xf numFmtId="0" fontId="4" fillId="2" borderId="0" xfId="0" applyFont="1" applyFill="1" applyAlignment="1">
      <alignment vertical="top" wrapText="1"/>
    </xf>
    <xf numFmtId="0" fontId="0" fillId="2" borderId="4" xfId="0" applyFont="1" applyFill="1" applyBorder="1"/>
    <xf numFmtId="0" fontId="0" fillId="2" borderId="1" xfId="0" applyFont="1" applyFill="1" applyBorder="1"/>
    <xf numFmtId="0" fontId="0" fillId="0" borderId="0" xfId="0" applyFont="1" applyFill="1"/>
    <xf numFmtId="0" fontId="0" fillId="2" borderId="0" xfId="0" quotePrefix="1" applyFill="1" applyAlignment="1">
      <alignment vertical="top" wrapText="1"/>
    </xf>
    <xf numFmtId="0" fontId="6" fillId="0" borderId="0" xfId="0" applyFont="1" applyFill="1"/>
    <xf numFmtId="0" fontId="6" fillId="0" borderId="1" xfId="0" applyFont="1" applyFill="1" applyBorder="1" applyAlignment="1">
      <alignment wrapText="1"/>
    </xf>
    <xf numFmtId="0" fontId="6" fillId="2" borderId="0" xfId="0" quotePrefix="1" applyFont="1" applyFill="1"/>
    <xf numFmtId="0" fontId="6" fillId="2" borderId="1" xfId="0" applyFont="1" applyFill="1" applyBorder="1" applyAlignment="1">
      <alignment wrapText="1"/>
    </xf>
    <xf numFmtId="0" fontId="6" fillId="2" borderId="0" xfId="0" applyFont="1" applyFill="1" applyAlignment="1">
      <alignment vertical="top" wrapText="1"/>
    </xf>
    <xf numFmtId="0" fontId="6" fillId="2" borderId="0" xfId="0" applyFont="1" applyFill="1" applyBorder="1" applyAlignment="1"/>
    <xf numFmtId="1" fontId="6" fillId="3" borderId="20" xfId="0" applyNumberFormat="1" applyFont="1" applyFill="1" applyBorder="1" applyAlignment="1" applyProtection="1">
      <alignment horizontal="center"/>
      <protection locked="0"/>
    </xf>
    <xf numFmtId="1" fontId="6" fillId="3" borderId="10" xfId="0" applyNumberFormat="1" applyFont="1" applyFill="1" applyBorder="1" applyAlignment="1" applyProtection="1">
      <alignment horizontal="center"/>
      <protection locked="0"/>
    </xf>
    <xf numFmtId="0" fontId="33" fillId="14" borderId="0" xfId="0" applyFont="1" applyFill="1" applyAlignment="1">
      <alignment horizontal="center"/>
    </xf>
    <xf numFmtId="0" fontId="27" fillId="14" borderId="0" xfId="0" applyFont="1" applyFill="1"/>
    <xf numFmtId="0" fontId="34" fillId="2" borderId="18" xfId="0" applyFont="1" applyFill="1" applyBorder="1" applyAlignment="1">
      <alignment horizontal="center"/>
    </xf>
    <xf numFmtId="0" fontId="6" fillId="2" borderId="18" xfId="0" applyFont="1" applyFill="1" applyBorder="1" applyAlignment="1">
      <alignment horizontal="center"/>
    </xf>
    <xf numFmtId="0" fontId="34" fillId="2" borderId="2" xfId="0" applyFont="1" applyFill="1" applyBorder="1"/>
    <xf numFmtId="0" fontId="6" fillId="2" borderId="2" xfId="0" applyFont="1" applyFill="1" applyBorder="1"/>
    <xf numFmtId="0" fontId="34" fillId="2" borderId="0" xfId="0" applyFont="1" applyFill="1"/>
    <xf numFmtId="0" fontId="26" fillId="10" borderId="0" xfId="1" applyFont="1" applyFill="1" applyAlignment="1" applyProtection="1"/>
    <xf numFmtId="0" fontId="16" fillId="10" borderId="0" xfId="1" applyFill="1" applyAlignment="1" applyProtection="1"/>
    <xf numFmtId="0" fontId="36" fillId="8" borderId="0" xfId="0" applyFont="1" applyFill="1"/>
    <xf numFmtId="0" fontId="0" fillId="0" borderId="29" xfId="0" applyBorder="1"/>
    <xf numFmtId="0" fontId="0" fillId="2" borderId="115" xfId="0" applyFill="1" applyBorder="1"/>
    <xf numFmtId="0" fontId="6" fillId="2" borderId="115" xfId="0" applyFont="1" applyFill="1" applyBorder="1" applyAlignment="1">
      <alignment horizontal="right" vertical="top"/>
    </xf>
    <xf numFmtId="0" fontId="6" fillId="2" borderId="115" xfId="0" applyFont="1" applyFill="1" applyBorder="1" applyAlignment="1">
      <alignment horizontal="right"/>
    </xf>
    <xf numFmtId="0" fontId="6" fillId="3" borderId="29" xfId="0" applyFont="1" applyFill="1" applyBorder="1" applyAlignment="1" applyProtection="1">
      <alignment horizontal="center"/>
      <protection locked="0"/>
    </xf>
    <xf numFmtId="0" fontId="6" fillId="2" borderId="1" xfId="0" applyFont="1" applyFill="1" applyBorder="1" applyAlignment="1">
      <alignment horizontal="right"/>
    </xf>
    <xf numFmtId="0" fontId="0" fillId="2" borderId="116" xfId="0" applyFill="1" applyBorder="1" applyAlignment="1">
      <alignment horizontal="center"/>
    </xf>
    <xf numFmtId="0" fontId="6" fillId="3" borderId="21" xfId="0" applyFont="1" applyFill="1" applyBorder="1" applyAlignment="1" applyProtection="1">
      <alignment horizontal="center"/>
      <protection locked="0"/>
    </xf>
    <xf numFmtId="0" fontId="6" fillId="3" borderId="105" xfId="0" applyFont="1" applyFill="1" applyBorder="1" applyAlignment="1" applyProtection="1">
      <alignment horizontal="center"/>
      <protection locked="0"/>
    </xf>
    <xf numFmtId="0" fontId="6" fillId="3" borderId="119" xfId="0" applyFont="1" applyFill="1" applyBorder="1" applyAlignment="1" applyProtection="1">
      <alignment horizontal="center"/>
      <protection locked="0"/>
    </xf>
    <xf numFmtId="0" fontId="6" fillId="3" borderId="82" xfId="0" applyFont="1" applyFill="1" applyBorder="1" applyAlignment="1" applyProtection="1">
      <alignment horizontal="center"/>
      <protection locked="0"/>
    </xf>
    <xf numFmtId="0" fontId="6" fillId="3" borderId="108" xfId="0" applyFont="1" applyFill="1" applyBorder="1" applyAlignment="1" applyProtection="1">
      <alignment horizontal="center"/>
      <protection locked="0"/>
    </xf>
    <xf numFmtId="0" fontId="6" fillId="3" borderId="69" xfId="0" applyFont="1" applyFill="1" applyBorder="1" applyAlignment="1" applyProtection="1">
      <alignment horizontal="center"/>
      <protection locked="0"/>
    </xf>
    <xf numFmtId="0" fontId="6" fillId="3" borderId="80" xfId="0" applyFont="1" applyFill="1" applyBorder="1" applyAlignment="1" applyProtection="1">
      <alignment horizontal="center"/>
      <protection locked="0"/>
    </xf>
    <xf numFmtId="0" fontId="6" fillId="3" borderId="118" xfId="0" applyFont="1" applyFill="1" applyBorder="1" applyAlignment="1" applyProtection="1">
      <alignment horizontal="center"/>
      <protection locked="0"/>
    </xf>
    <xf numFmtId="0" fontId="6" fillId="3" borderId="102" xfId="0" applyFont="1" applyFill="1" applyBorder="1" applyAlignment="1" applyProtection="1">
      <alignment horizontal="center"/>
      <protection locked="0"/>
    </xf>
    <xf numFmtId="0" fontId="6" fillId="3" borderId="117" xfId="0" applyFont="1" applyFill="1" applyBorder="1" applyAlignment="1" applyProtection="1">
      <alignment horizontal="center"/>
      <protection locked="0"/>
    </xf>
    <xf numFmtId="0" fontId="6" fillId="3" borderId="13" xfId="0" applyFont="1" applyFill="1" applyBorder="1" applyAlignment="1" applyProtection="1">
      <alignment horizontal="center"/>
      <protection locked="0"/>
    </xf>
    <xf numFmtId="0" fontId="6" fillId="3" borderId="106" xfId="0" applyFont="1" applyFill="1" applyBorder="1" applyAlignment="1" applyProtection="1">
      <alignment horizontal="center"/>
      <protection locked="0"/>
    </xf>
    <xf numFmtId="0" fontId="6" fillId="3" borderId="120" xfId="0" applyFont="1" applyFill="1" applyBorder="1" applyAlignment="1" applyProtection="1">
      <alignment horizontal="center"/>
      <protection locked="0"/>
    </xf>
    <xf numFmtId="0" fontId="6" fillId="3" borderId="121" xfId="0" applyFont="1" applyFill="1" applyBorder="1" applyAlignment="1" applyProtection="1">
      <alignment horizontal="center"/>
      <protection locked="0"/>
    </xf>
    <xf numFmtId="0" fontId="6" fillId="2" borderId="15" xfId="0" applyFont="1" applyFill="1" applyBorder="1"/>
    <xf numFmtId="0" fontId="6" fillId="2" borderId="23" xfId="0" applyFont="1" applyFill="1" applyBorder="1"/>
    <xf numFmtId="0" fontId="6" fillId="2" borderId="35" xfId="0" applyFont="1" applyFill="1" applyBorder="1"/>
    <xf numFmtId="0" fontId="6" fillId="2" borderId="48" xfId="0" applyFont="1" applyFill="1" applyBorder="1"/>
    <xf numFmtId="0" fontId="6" fillId="2" borderId="43" xfId="0" applyFont="1" applyFill="1" applyBorder="1"/>
    <xf numFmtId="0" fontId="6" fillId="2" borderId="21" xfId="0" applyFont="1" applyFill="1" applyBorder="1"/>
    <xf numFmtId="0" fontId="6" fillId="2" borderId="5" xfId="0" applyFont="1" applyFill="1" applyBorder="1"/>
    <xf numFmtId="0" fontId="6" fillId="2" borderId="30" xfId="0" applyFont="1" applyFill="1" applyBorder="1"/>
    <xf numFmtId="0" fontId="6" fillId="2" borderId="62" xfId="0" applyFont="1" applyFill="1" applyBorder="1"/>
    <xf numFmtId="0" fontId="6" fillId="3" borderId="12" xfId="0" applyFont="1" applyFill="1" applyBorder="1" applyAlignment="1" applyProtection="1">
      <alignment horizontal="center"/>
      <protection locked="0"/>
    </xf>
    <xf numFmtId="0" fontId="37" fillId="2" borderId="0" xfId="0" applyFont="1" applyFill="1"/>
    <xf numFmtId="0" fontId="6" fillId="3" borderId="24" xfId="0" applyFont="1" applyFill="1" applyBorder="1" applyAlignment="1" applyProtection="1">
      <alignment horizontal="center"/>
      <protection locked="0"/>
    </xf>
    <xf numFmtId="0" fontId="6" fillId="3" borderId="48" xfId="0" applyFont="1" applyFill="1" applyBorder="1" applyAlignment="1" applyProtection="1">
      <alignment horizontal="center"/>
      <protection locked="0"/>
    </xf>
    <xf numFmtId="0" fontId="6" fillId="3" borderId="28" xfId="0" applyFont="1" applyFill="1" applyBorder="1" applyAlignment="1" applyProtection="1">
      <alignment horizontal="center"/>
      <protection locked="0"/>
    </xf>
    <xf numFmtId="0" fontId="6" fillId="2" borderId="17" xfId="0" applyFont="1" applyFill="1" applyBorder="1" applyAlignment="1">
      <alignment horizontal="right"/>
    </xf>
    <xf numFmtId="0" fontId="6" fillId="2" borderId="116" xfId="0" applyFont="1" applyFill="1" applyBorder="1" applyAlignment="1">
      <alignment horizontal="center"/>
    </xf>
    <xf numFmtId="0" fontId="6" fillId="2" borderId="82" xfId="0" applyFont="1" applyFill="1" applyBorder="1"/>
    <xf numFmtId="0" fontId="17" fillId="0" borderId="1" xfId="0" applyFont="1" applyBorder="1" applyAlignment="1">
      <alignment horizontal="center" vertical="top" wrapText="1"/>
    </xf>
  </cellXfs>
  <cellStyles count="2">
    <cellStyle name="Hyperlink" xfId="1" builtinId="8"/>
    <cellStyle name="Standaard" xfId="0" builtinId="0"/>
  </cellStyles>
  <dxfs count="558">
    <dxf>
      <font>
        <b/>
        <i val="0"/>
        <condense val="0"/>
        <extend val="0"/>
      </font>
      <fill>
        <patternFill>
          <bgColor indexed="15"/>
        </patternFill>
      </fill>
      <border>
        <left style="thin">
          <color indexed="64"/>
        </left>
        <right style="thin">
          <color indexed="64"/>
        </right>
        <top style="thin">
          <color indexed="64"/>
        </top>
        <bottom style="thin">
          <color indexed="64"/>
        </bottom>
      </border>
    </dxf>
    <dxf>
      <fill>
        <patternFill>
          <bgColor indexed="10"/>
        </patternFill>
      </fill>
    </dxf>
    <dxf>
      <fill>
        <patternFill>
          <bgColor indexed="11"/>
        </patternFill>
      </fill>
    </dxf>
    <dxf>
      <font>
        <color theme="1"/>
      </font>
    </dxf>
    <dxf>
      <fill>
        <patternFill>
          <bgColor rgb="FF66FF66"/>
        </patternFill>
      </fill>
    </dxf>
    <dxf>
      <fill>
        <patternFill>
          <bgColor rgb="FF66FF66"/>
        </patternFill>
      </fill>
    </dxf>
    <dxf>
      <fill>
        <patternFill>
          <bgColor rgb="FFFF0000"/>
        </patternFill>
      </fill>
    </dxf>
    <dxf>
      <fill>
        <patternFill>
          <bgColor rgb="FFFF0000"/>
        </patternFill>
      </fill>
    </dxf>
    <dxf>
      <fill>
        <patternFill>
          <bgColor rgb="FFFF0000"/>
        </patternFill>
      </fill>
    </dxf>
    <dxf>
      <fill>
        <patternFill>
          <bgColor indexed="8"/>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8"/>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8"/>
        </patternFill>
      </fill>
    </dxf>
    <dxf>
      <fill>
        <patternFill>
          <bgColor indexed="11"/>
        </patternFill>
      </fill>
    </dxf>
    <dxf>
      <fill>
        <patternFill>
          <bgColor indexed="8"/>
        </patternFill>
      </fill>
    </dxf>
    <dxf>
      <fill>
        <patternFill>
          <bgColor indexed="11"/>
        </patternFill>
      </fill>
    </dxf>
    <dxf>
      <fill>
        <patternFill>
          <bgColor indexed="8"/>
        </patternFill>
      </fill>
    </dxf>
    <dxf>
      <fill>
        <patternFill>
          <bgColor indexed="8"/>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8"/>
        </patternFill>
      </fill>
    </dxf>
    <dxf>
      <fill>
        <patternFill>
          <bgColor indexed="11"/>
        </patternFill>
      </fill>
    </dxf>
    <dxf>
      <fill>
        <patternFill>
          <bgColor indexed="11"/>
        </patternFill>
      </fill>
    </dxf>
    <dxf>
      <fill>
        <patternFill>
          <bgColor indexed="10"/>
        </patternFill>
      </fill>
    </dxf>
    <dxf>
      <fill>
        <patternFill>
          <bgColor indexed="11"/>
        </patternFill>
      </fill>
    </dxf>
    <dxf>
      <fill>
        <patternFill>
          <bgColor indexed="11"/>
        </patternFill>
      </fill>
    </dxf>
    <dxf>
      <fill>
        <patternFill>
          <bgColor indexed="10"/>
        </patternFill>
      </fill>
    </dxf>
    <dxf>
      <fill>
        <patternFill>
          <bgColor indexed="10"/>
        </patternFill>
      </fill>
    </dxf>
    <dxf>
      <fill>
        <patternFill>
          <bgColor indexed="11"/>
        </patternFill>
      </fill>
    </dxf>
    <dxf>
      <fill>
        <patternFill>
          <bgColor indexed="11"/>
        </patternFill>
      </fill>
    </dxf>
    <dxf>
      <fill>
        <patternFill>
          <bgColor rgb="FF66FF66"/>
        </patternFill>
      </fill>
      <border>
        <left style="thin">
          <color auto="1"/>
        </left>
        <right style="thin">
          <color auto="1"/>
        </right>
        <top style="thin">
          <color auto="1"/>
        </top>
        <bottom style="thin">
          <color auto="1"/>
        </bottom>
      </border>
    </dxf>
    <dxf>
      <fill>
        <patternFill>
          <bgColor indexed="11"/>
        </patternFill>
      </fill>
    </dxf>
    <dxf>
      <fill>
        <patternFill>
          <bgColor rgb="FF66FF66"/>
        </patternFill>
      </fill>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rgb="FFFF0000"/>
        </patternFill>
      </fill>
    </dxf>
    <dxf>
      <fill>
        <patternFill>
          <bgColor rgb="FFFF0000"/>
        </patternFill>
      </fill>
    </dxf>
    <dxf>
      <fill>
        <patternFill>
          <bgColor rgb="FF66FF66"/>
        </patternFill>
      </fill>
    </dxf>
    <dxf>
      <fill>
        <patternFill>
          <bgColor rgb="FF66FF66"/>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8"/>
        </patternFill>
      </fill>
    </dxf>
    <dxf>
      <fill>
        <patternFill>
          <bgColor indexed="8"/>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42"/>
        </patternFill>
      </fill>
    </dxf>
    <dxf>
      <fill>
        <patternFill>
          <bgColor indexed="42"/>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0"/>
        </patternFill>
      </fill>
    </dxf>
    <dxf>
      <fill>
        <patternFill>
          <bgColor indexed="11"/>
        </patternFill>
      </fill>
    </dxf>
    <dxf>
      <fill>
        <patternFill>
          <bgColor rgb="FFFF0000"/>
        </patternFill>
      </fill>
    </dxf>
    <dxf>
      <fill>
        <patternFill>
          <bgColor rgb="FFFF0000"/>
        </patternFill>
      </fill>
    </dxf>
    <dxf>
      <fill>
        <patternFill>
          <bgColor rgb="FF00FF00"/>
        </patternFill>
      </fill>
    </dxf>
    <dxf>
      <fill>
        <patternFill>
          <bgColor rgb="FFFF0000"/>
        </patternFill>
      </fill>
    </dxf>
    <dxf>
      <fill>
        <patternFill>
          <bgColor rgb="FF00FF00"/>
        </patternFill>
      </fill>
    </dxf>
    <dxf>
      <fill>
        <patternFill>
          <bgColor rgb="FFFF0000"/>
        </patternFill>
      </fill>
    </dxf>
    <dxf>
      <fill>
        <patternFill>
          <bgColor rgb="FFFF0000"/>
        </patternFill>
      </fill>
    </dxf>
    <dxf>
      <fill>
        <patternFill>
          <bgColor rgb="FF00FF00"/>
        </patternFill>
      </fill>
    </dxf>
    <dxf>
      <fill>
        <patternFill>
          <bgColor rgb="FFFF0000"/>
        </patternFill>
      </fill>
    </dxf>
    <dxf>
      <fill>
        <patternFill>
          <bgColor rgb="FFFF0000"/>
        </patternFill>
      </fill>
    </dxf>
    <dxf>
      <fill>
        <patternFill>
          <bgColor rgb="FF00FF00"/>
        </patternFill>
      </fill>
    </dxf>
    <dxf>
      <fill>
        <patternFill>
          <bgColor rgb="FFFF0000"/>
        </patternFill>
      </fill>
    </dxf>
    <dxf>
      <fill>
        <patternFill>
          <bgColor rgb="FF00FF00"/>
        </patternFill>
      </fill>
    </dxf>
    <dxf>
      <fill>
        <patternFill>
          <bgColor rgb="FFFF0000"/>
        </patternFill>
      </fill>
    </dxf>
    <dxf>
      <fill>
        <patternFill>
          <bgColor rgb="FFFF0000"/>
        </patternFill>
      </fill>
    </dxf>
    <dxf>
      <fill>
        <patternFill>
          <bgColor rgb="FF00FF00"/>
        </patternFill>
      </fill>
    </dxf>
    <dxf>
      <fill>
        <patternFill>
          <bgColor rgb="FFFF0000"/>
        </patternFill>
      </fill>
    </dxf>
    <dxf>
      <fill>
        <patternFill>
          <bgColor rgb="FFFF0000"/>
        </patternFill>
      </fill>
    </dxf>
    <dxf>
      <fill>
        <patternFill>
          <bgColor rgb="FF66FF66"/>
        </patternFill>
      </fill>
    </dxf>
    <dxf>
      <fill>
        <patternFill>
          <bgColor rgb="FFFF0000"/>
        </patternFill>
      </fill>
    </dxf>
    <dxf>
      <fill>
        <patternFill>
          <bgColor rgb="FFFF0000"/>
        </patternFill>
      </fill>
    </dxf>
    <dxf>
      <fill>
        <patternFill>
          <bgColor rgb="FFFF0000"/>
        </patternFill>
      </fill>
    </dxf>
    <dxf>
      <fill>
        <patternFill>
          <bgColor rgb="FF66FF66"/>
        </patternFill>
      </fill>
    </dxf>
    <dxf>
      <fill>
        <patternFill>
          <bgColor rgb="FFFF0000"/>
        </patternFill>
      </fill>
    </dxf>
    <dxf>
      <fill>
        <patternFill>
          <bgColor rgb="FFFF0000"/>
        </patternFill>
      </fill>
    </dxf>
    <dxf>
      <fill>
        <patternFill>
          <bgColor rgb="FFFF0000"/>
        </patternFill>
      </fill>
    </dxf>
    <dxf>
      <fill>
        <patternFill>
          <bgColor rgb="FF66FF66"/>
        </patternFill>
      </fill>
    </dxf>
    <dxf>
      <fill>
        <patternFill>
          <bgColor rgb="FFFF0000"/>
        </patternFill>
      </fill>
    </dxf>
    <dxf>
      <fill>
        <patternFill>
          <bgColor rgb="FFFF0000"/>
        </patternFill>
      </fill>
    </dxf>
    <dxf>
      <fill>
        <patternFill>
          <bgColor rgb="FFFF0000"/>
        </patternFill>
      </fill>
    </dxf>
    <dxf>
      <fill>
        <patternFill>
          <bgColor rgb="FF66FF66"/>
        </patternFill>
      </fill>
    </dxf>
    <dxf>
      <fill>
        <patternFill>
          <bgColor rgb="FFFF0000"/>
        </patternFill>
      </fill>
    </dxf>
    <dxf>
      <fill>
        <patternFill>
          <bgColor rgb="FFFF0000"/>
        </patternFill>
      </fill>
    </dxf>
    <dxf>
      <fill>
        <patternFill>
          <bgColor rgb="FF66FF66"/>
        </patternFill>
      </fill>
    </dxf>
    <dxf>
      <fill>
        <patternFill>
          <bgColor rgb="FFFF0000"/>
        </patternFill>
      </fill>
    </dxf>
    <dxf>
      <fill>
        <patternFill>
          <bgColor rgb="FF66FF66"/>
        </patternFill>
      </fill>
    </dxf>
    <dxf>
      <fill>
        <patternFill>
          <bgColor rgb="FFFF0000"/>
        </patternFill>
      </fill>
    </dxf>
    <dxf>
      <fill>
        <patternFill>
          <bgColor rgb="FFFF0000"/>
        </patternFill>
      </fill>
    </dxf>
    <dxf>
      <fill>
        <patternFill>
          <bgColor rgb="FF66FF66"/>
        </patternFill>
      </fill>
    </dxf>
    <dxf>
      <fill>
        <patternFill>
          <bgColor rgb="FFFF0000"/>
        </patternFill>
      </fill>
    </dxf>
    <dxf>
      <fill>
        <patternFill>
          <bgColor rgb="FF66FF66"/>
        </patternFill>
      </fill>
    </dxf>
    <dxf>
      <fill>
        <patternFill>
          <bgColor rgb="FFFF0000"/>
        </patternFill>
      </fill>
    </dxf>
    <dxf>
      <fill>
        <patternFill>
          <bgColor rgb="FF66FF66"/>
        </patternFill>
      </fill>
    </dxf>
    <dxf>
      <fill>
        <patternFill>
          <bgColor rgb="FFFF0000"/>
        </patternFill>
      </fill>
    </dxf>
    <dxf>
      <fill>
        <patternFill>
          <bgColor rgb="FFFF0000"/>
        </patternFill>
      </fill>
    </dxf>
    <dxf>
      <fill>
        <patternFill>
          <bgColor rgb="FF66FF66"/>
        </patternFill>
      </fill>
    </dxf>
    <dxf>
      <fill>
        <patternFill>
          <bgColor rgb="FFFF0000"/>
        </patternFill>
      </fill>
    </dxf>
    <dxf>
      <fill>
        <patternFill>
          <bgColor rgb="FFFF0000"/>
        </patternFill>
      </fill>
    </dxf>
    <dxf>
      <fill>
        <patternFill>
          <bgColor rgb="FF66FF66"/>
        </patternFill>
      </fill>
    </dxf>
    <dxf>
      <fill>
        <patternFill>
          <bgColor rgb="FFFF0000"/>
        </patternFill>
      </fill>
    </dxf>
    <dxf>
      <fill>
        <patternFill>
          <bgColor rgb="FFFF0000"/>
        </patternFill>
      </fill>
    </dxf>
    <dxf>
      <fill>
        <patternFill>
          <bgColor rgb="FFFF0000"/>
        </patternFill>
      </fill>
    </dxf>
    <dxf>
      <fill>
        <patternFill>
          <bgColor rgb="FF00FF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FF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FF00"/>
        </patternFill>
      </fill>
    </dxf>
    <dxf>
      <fill>
        <patternFill>
          <bgColor rgb="FFFF0000"/>
        </patternFill>
      </fill>
    </dxf>
    <dxf>
      <fill>
        <patternFill>
          <bgColor rgb="FFFF0000"/>
        </patternFill>
      </fill>
    </dxf>
    <dxf>
      <fill>
        <patternFill>
          <bgColor rgb="FFFF0000"/>
        </patternFill>
      </fill>
    </dxf>
    <dxf>
      <fill>
        <patternFill>
          <bgColor rgb="FF00FF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FF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FF00"/>
        </patternFill>
      </fill>
    </dxf>
    <dxf>
      <fill>
        <patternFill>
          <bgColor rgb="FFFF0000"/>
        </patternFill>
      </fill>
    </dxf>
    <dxf>
      <fill>
        <patternFill>
          <bgColor rgb="FFFF0000"/>
        </patternFill>
      </fill>
    </dxf>
    <dxf>
      <fill>
        <patternFill>
          <bgColor rgb="FFFF0000"/>
        </patternFill>
      </fill>
    </dxf>
    <dxf>
      <fill>
        <patternFill>
          <bgColor rgb="FF00FF00"/>
        </patternFill>
      </fill>
    </dxf>
    <dxf>
      <fill>
        <patternFill>
          <bgColor rgb="FFFF0000"/>
        </patternFill>
      </fill>
    </dxf>
    <dxf>
      <fill>
        <patternFill>
          <bgColor rgb="FFFF0000"/>
        </patternFill>
      </fill>
    </dxf>
    <dxf>
      <fill>
        <patternFill>
          <bgColor rgb="FFFF0000"/>
        </patternFill>
      </fill>
    </dxf>
    <dxf>
      <fill>
        <patternFill>
          <bgColor rgb="FF00FF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FF00"/>
        </patternFill>
      </fill>
    </dxf>
    <dxf>
      <fill>
        <patternFill>
          <bgColor rgb="FF00FF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FF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FF00"/>
        </patternFill>
      </fill>
    </dxf>
    <dxf>
      <fill>
        <patternFill>
          <bgColor rgb="FF00FF00"/>
        </patternFill>
      </fill>
    </dxf>
    <dxf>
      <fill>
        <patternFill>
          <bgColor rgb="FF00FF00"/>
        </patternFill>
      </fill>
    </dxf>
    <dxf>
      <fill>
        <patternFill>
          <bgColor rgb="FFFF0000"/>
        </patternFill>
      </fill>
    </dxf>
    <dxf>
      <fill>
        <patternFill>
          <bgColor rgb="FF00FF00"/>
        </patternFill>
      </fill>
    </dxf>
    <dxf>
      <fill>
        <patternFill>
          <bgColor rgb="FFFF0000"/>
        </patternFill>
      </fill>
    </dxf>
    <dxf>
      <fill>
        <patternFill>
          <bgColor rgb="FF00FF00"/>
        </patternFill>
      </fill>
    </dxf>
    <dxf>
      <fill>
        <patternFill>
          <bgColor rgb="FF00FF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FF00"/>
        </patternFill>
      </fill>
    </dxf>
    <dxf>
      <fill>
        <patternFill>
          <bgColor rgb="FFFF0000"/>
        </patternFill>
      </fill>
    </dxf>
    <dxf>
      <fill>
        <patternFill>
          <bgColor rgb="FF00FF00"/>
        </patternFill>
      </fill>
    </dxf>
    <dxf>
      <fill>
        <patternFill>
          <bgColor rgb="FF00FF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FF0000"/>
        </patternFill>
      </fill>
    </dxf>
    <dxf>
      <fill>
        <patternFill>
          <bgColor rgb="FF00FF00"/>
        </patternFill>
      </fill>
    </dxf>
    <dxf>
      <fill>
        <patternFill>
          <bgColor rgb="FFFF0000"/>
        </patternFill>
      </fill>
    </dxf>
    <dxf>
      <fill>
        <patternFill>
          <bgColor rgb="FFFF0000"/>
        </patternFill>
      </fill>
    </dxf>
    <dxf>
      <fill>
        <patternFill>
          <bgColor rgb="FFFF0000"/>
        </patternFill>
      </fill>
    </dxf>
    <dxf>
      <fill>
        <patternFill>
          <bgColor rgb="FF00FF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FF0000"/>
        </patternFill>
      </fill>
    </dxf>
    <dxf>
      <fill>
        <patternFill>
          <bgColor rgb="FFFF0000"/>
        </patternFill>
      </fill>
    </dxf>
    <dxf>
      <fill>
        <patternFill>
          <bgColor rgb="FFFF00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FF0000"/>
        </patternFill>
      </fill>
    </dxf>
    <dxf>
      <fill>
        <patternFill>
          <bgColor rgb="FF00FF00"/>
        </patternFill>
      </fill>
    </dxf>
    <dxf>
      <fill>
        <patternFill>
          <bgColor rgb="FF00FF00"/>
        </patternFill>
      </fill>
    </dxf>
    <dxf>
      <fill>
        <patternFill>
          <bgColor rgb="FFFF0000"/>
        </patternFill>
      </fill>
    </dxf>
    <dxf>
      <fill>
        <patternFill>
          <bgColor rgb="FF00FF00"/>
        </patternFill>
      </fill>
    </dxf>
    <dxf>
      <fill>
        <patternFill>
          <bgColor rgb="FF00FF00"/>
        </patternFill>
      </fill>
    </dxf>
    <dxf>
      <fill>
        <patternFill>
          <bgColor rgb="FF00FF00"/>
        </patternFill>
      </fill>
    </dxf>
    <dxf>
      <fill>
        <patternFill>
          <bgColor rgb="FFFF3300"/>
        </patternFill>
      </fill>
    </dxf>
    <dxf>
      <fill>
        <patternFill>
          <bgColor rgb="FF66FF66"/>
        </patternFill>
      </fill>
      <border>
        <left style="thin">
          <color auto="1"/>
        </left>
        <right style="thin">
          <color auto="1"/>
        </right>
        <top style="thin">
          <color auto="1"/>
        </top>
        <bottom style="thin">
          <color auto="1"/>
        </bottom>
      </border>
    </dxf>
    <dxf>
      <fill>
        <patternFill>
          <bgColor rgb="FF66FF66"/>
        </patternFill>
      </fill>
      <border>
        <left style="thin">
          <color auto="1"/>
        </left>
        <right style="thin">
          <color auto="1"/>
        </right>
        <top style="thin">
          <color auto="1"/>
        </top>
        <bottom style="thin">
          <color auto="1"/>
        </bottom>
      </border>
    </dxf>
    <dxf>
      <fill>
        <patternFill>
          <bgColor rgb="FF66FF66"/>
        </patternFill>
      </fill>
      <border>
        <left style="thin">
          <color auto="1"/>
        </left>
        <right style="thin">
          <color auto="1"/>
        </right>
        <top style="thin">
          <color auto="1"/>
        </top>
        <bottom style="thin">
          <color auto="1"/>
        </bottom>
      </border>
    </dxf>
    <dxf>
      <fill>
        <patternFill>
          <bgColor rgb="FF66FF66"/>
        </patternFill>
      </fill>
    </dxf>
    <dxf>
      <fill>
        <patternFill>
          <bgColor rgb="FFFF0000"/>
        </patternFill>
      </fill>
    </dxf>
    <dxf>
      <fill>
        <patternFill>
          <bgColor rgb="FF66FF66"/>
        </patternFill>
      </fill>
    </dxf>
    <dxf>
      <fill>
        <patternFill>
          <bgColor rgb="FF66FF66"/>
        </patternFill>
      </fill>
    </dxf>
    <dxf>
      <fill>
        <patternFill>
          <bgColor indexed="11"/>
        </patternFill>
      </fill>
    </dxf>
    <dxf>
      <fill>
        <patternFill>
          <bgColor indexed="11"/>
        </patternFill>
      </fill>
    </dxf>
    <dxf>
      <fill>
        <patternFill>
          <bgColor indexed="11"/>
        </patternFill>
      </fill>
    </dxf>
    <dxf>
      <fill>
        <patternFill>
          <bgColor indexed="11"/>
        </patternFill>
      </fill>
    </dxf>
    <dxf>
      <font>
        <condense val="0"/>
        <extend val="0"/>
        <color indexed="13"/>
      </font>
      <fill>
        <patternFill>
          <bgColor indexed="8"/>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42"/>
        </patternFill>
      </fill>
    </dxf>
    <dxf>
      <fill>
        <patternFill>
          <bgColor indexed="42"/>
        </patternFill>
      </fill>
    </dxf>
    <dxf>
      <fill>
        <patternFill>
          <bgColor indexed="11"/>
        </patternFill>
      </fill>
    </dxf>
    <dxf>
      <fill>
        <patternFill>
          <bgColor indexed="42"/>
        </patternFill>
      </fill>
    </dxf>
    <dxf>
      <fill>
        <patternFill>
          <bgColor indexed="42"/>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52"/>
        </patternFill>
      </fill>
    </dxf>
    <dxf>
      <fill>
        <patternFill>
          <bgColor indexed="10"/>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0"/>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0"/>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rgb="FF00FF00"/>
        </patternFill>
      </fill>
    </dxf>
    <dxf>
      <fill>
        <patternFill>
          <bgColor rgb="FF00FF00"/>
        </patternFill>
      </fill>
    </dxf>
    <dxf>
      <fill>
        <patternFill>
          <bgColor rgb="FF00FF00"/>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border>
        <left style="thin">
          <color indexed="10"/>
        </left>
        <right style="thin">
          <color indexed="10"/>
        </right>
        <top style="thin">
          <color indexed="10"/>
        </top>
        <bottom style="thin">
          <color indexed="10"/>
        </bottom>
      </border>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0"/>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border>
        <left style="thin">
          <color indexed="10"/>
        </left>
        <right style="thin">
          <color indexed="10"/>
        </right>
        <top style="thin">
          <color indexed="10"/>
        </top>
        <bottom style="thin">
          <color indexed="10"/>
        </bottom>
      </border>
    </dxf>
    <dxf>
      <fill>
        <patternFill>
          <bgColor indexed="11"/>
        </patternFill>
      </fill>
    </dxf>
    <dxf>
      <fill>
        <patternFill>
          <bgColor indexed="52"/>
        </patternFill>
      </fill>
    </dxf>
    <dxf>
      <fill>
        <patternFill>
          <bgColor indexed="42"/>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0"/>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0"/>
        </patternFill>
      </fill>
    </dxf>
    <dxf>
      <fill>
        <patternFill>
          <bgColor indexed="11"/>
        </patternFill>
      </fill>
    </dxf>
    <dxf>
      <fill>
        <patternFill>
          <bgColor indexed="11"/>
        </patternFill>
      </fill>
    </dxf>
    <dxf>
      <fill>
        <patternFill>
          <bgColor rgb="FF66FF66"/>
        </patternFill>
      </fill>
    </dxf>
    <dxf>
      <fill>
        <patternFill>
          <bgColor rgb="FF66FF66"/>
        </patternFill>
      </fill>
    </dxf>
    <dxf>
      <fill>
        <patternFill>
          <bgColor rgb="FF66FF33"/>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8"/>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0"/>
        </patternFill>
      </fill>
    </dxf>
    <dxf>
      <fill>
        <patternFill>
          <bgColor indexed="11"/>
        </patternFill>
      </fill>
    </dxf>
    <dxf>
      <fill>
        <patternFill>
          <bgColor indexed="10"/>
        </patternFill>
      </fill>
    </dxf>
    <dxf>
      <fill>
        <patternFill>
          <bgColor indexed="11"/>
        </patternFill>
      </fill>
    </dxf>
    <dxf>
      <fill>
        <patternFill>
          <bgColor indexed="11"/>
        </patternFill>
      </fill>
    </dxf>
    <dxf>
      <fill>
        <patternFill>
          <bgColor indexed="11"/>
        </patternFill>
      </fill>
    </dxf>
    <dxf>
      <fill>
        <patternFill>
          <bgColor indexed="10"/>
        </patternFill>
      </fill>
    </dxf>
    <dxf>
      <fill>
        <patternFill>
          <bgColor indexed="11"/>
        </patternFill>
      </fill>
    </dxf>
    <dxf>
      <fill>
        <patternFill>
          <bgColor rgb="FF66FF66"/>
        </patternFill>
      </fill>
    </dxf>
    <dxf>
      <fill>
        <patternFill>
          <bgColor rgb="FF66FF66"/>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ont>
        <b val="0"/>
        <i val="0"/>
        <strike val="0"/>
        <condense val="0"/>
        <extend val="0"/>
        <color auto="1"/>
      </font>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0"/>
        </patternFill>
      </fill>
    </dxf>
    <dxf>
      <fill>
        <patternFill>
          <bgColor indexed="11"/>
        </patternFill>
      </fill>
    </dxf>
    <dxf>
      <fill>
        <patternFill>
          <bgColor indexed="42"/>
        </patternFill>
      </fill>
    </dxf>
    <dxf>
      <fill>
        <patternFill>
          <bgColor indexed="11"/>
        </patternFill>
      </fill>
    </dxf>
    <dxf>
      <fill>
        <patternFill>
          <bgColor indexed="10"/>
        </patternFill>
      </fill>
    </dxf>
    <dxf>
      <fill>
        <patternFill>
          <bgColor indexed="10"/>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0"/>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0"/>
        </patternFill>
      </fill>
    </dxf>
    <dxf>
      <fill>
        <patternFill>
          <bgColor indexed="10"/>
        </patternFill>
      </fill>
    </dxf>
    <dxf>
      <fill>
        <patternFill>
          <bgColor indexed="11"/>
        </patternFill>
      </fill>
    </dxf>
    <dxf>
      <fill>
        <patternFill>
          <bgColor indexed="11"/>
        </patternFill>
      </fill>
    </dxf>
    <dxf>
      <fill>
        <patternFill>
          <bgColor indexed="42"/>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s>
  <tableStyles count="0" defaultTableStyle="TableStyleMedium9" defaultPivotStyle="PivotStyleLight16"/>
  <colors>
    <mruColors>
      <color rgb="FF00FF00"/>
      <color rgb="FFFF3300"/>
      <color rgb="FF66FF66"/>
      <color rgb="FFFFFFCC"/>
      <color rgb="FF66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75" b="1" i="0" u="none" strike="noStrike" baseline="0">
                <a:solidFill>
                  <a:srgbClr val="000000"/>
                </a:solidFill>
                <a:latin typeface="Arial"/>
                <a:ea typeface="Arial"/>
                <a:cs typeface="Arial"/>
              </a:defRPr>
            </a:pPr>
            <a:r>
              <a:rPr lang="nl-NL"/>
              <a:t>Moeilijkheidsgraad om personeel adequaat in te zetten</a:t>
            </a:r>
          </a:p>
        </c:rich>
      </c:tx>
      <c:layout>
        <c:manualLayout>
          <c:xMode val="edge"/>
          <c:yMode val="edge"/>
          <c:x val="0.12732167158987887"/>
          <c:y val="4.4117623128882157E-2"/>
        </c:manualLayout>
      </c:layout>
      <c:overlay val="0"/>
      <c:spPr>
        <a:noFill/>
        <a:ln w="25400">
          <a:noFill/>
        </a:ln>
      </c:spPr>
    </c:title>
    <c:autoTitleDeleted val="0"/>
    <c:plotArea>
      <c:layout>
        <c:manualLayout>
          <c:layoutTarget val="inner"/>
          <c:xMode val="edge"/>
          <c:yMode val="edge"/>
          <c:x val="4.8523306721607005E-2"/>
          <c:y val="0.23529524402211743"/>
          <c:w val="0.88607777491630157"/>
          <c:h val="0.480394456545154"/>
        </c:manualLayout>
      </c:layout>
      <c:barChart>
        <c:barDir val="bar"/>
        <c:grouping val="clustered"/>
        <c:varyColors val="0"/>
        <c:ser>
          <c:idx val="0"/>
          <c:order val="0"/>
          <c:spPr>
            <a:solidFill>
              <a:srgbClr val="3366FF"/>
            </a:solidFill>
            <a:ln w="12700">
              <a:solidFill>
                <a:srgbClr val="000000"/>
              </a:solidFill>
              <a:prstDash val="solid"/>
            </a:ln>
          </c:spPr>
          <c:invertIfNegative val="0"/>
          <c:val>
            <c:numRef>
              <c:f>'H1'!$D$123</c:f>
              <c:numCache>
                <c:formatCode>General</c:formatCode>
                <c:ptCount val="1"/>
                <c:pt idx="0">
                  <c:v>0</c:v>
                </c:pt>
              </c:numCache>
            </c:numRef>
          </c:val>
        </c:ser>
        <c:dLbls>
          <c:showLegendKey val="0"/>
          <c:showVal val="0"/>
          <c:showCatName val="0"/>
          <c:showSerName val="0"/>
          <c:showPercent val="0"/>
          <c:showBubbleSize val="0"/>
        </c:dLbls>
        <c:gapWidth val="150"/>
        <c:axId val="292735704"/>
        <c:axId val="292582384"/>
      </c:barChart>
      <c:catAx>
        <c:axId val="292735704"/>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nl-NL"/>
          </a:p>
        </c:txPr>
        <c:crossAx val="292582384"/>
        <c:crosses val="autoZero"/>
        <c:auto val="1"/>
        <c:lblAlgn val="ctr"/>
        <c:lblOffset val="100"/>
        <c:tickLblSkip val="1"/>
        <c:tickMarkSkip val="1"/>
        <c:noMultiLvlLbl val="0"/>
      </c:catAx>
      <c:valAx>
        <c:axId val="292582384"/>
        <c:scaling>
          <c:orientation val="minMax"/>
        </c:scaling>
        <c:delete val="0"/>
        <c:axPos val="b"/>
        <c:majorGridlines>
          <c:spPr>
            <a:ln w="3175">
              <a:solidFill>
                <a:srgbClr val="000000"/>
              </a:solidFill>
              <a:prstDash val="solid"/>
            </a:ln>
          </c:spPr>
        </c:majorGridlines>
        <c:title>
          <c:tx>
            <c:rich>
              <a:bodyPr/>
              <a:lstStyle/>
              <a:p>
                <a:pPr>
                  <a:defRPr sz="800" b="1" i="0" u="none" strike="noStrike" baseline="0">
                    <a:solidFill>
                      <a:srgbClr val="000000"/>
                    </a:solidFill>
                    <a:latin typeface="Arial"/>
                    <a:ea typeface="Arial"/>
                    <a:cs typeface="Arial"/>
                  </a:defRPr>
                </a:pPr>
                <a:r>
                  <a:rPr lang="nl-NL"/>
                  <a:t>cummulatief</a:t>
                </a:r>
              </a:p>
            </c:rich>
          </c:tx>
          <c:layout>
            <c:manualLayout>
              <c:xMode val="edge"/>
              <c:yMode val="edge"/>
              <c:x val="0.41561270031119502"/>
              <c:y val="0.84804333281869426"/>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nl-NL"/>
          </a:p>
        </c:txPr>
        <c:crossAx val="292735704"/>
        <c:crosses val="autoZero"/>
        <c:crossBetween val="between"/>
      </c:valAx>
      <c:spPr>
        <a:solidFill>
          <a:srgbClr val="CC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nl-NL"/>
    </a:p>
  </c:txPr>
  <c:printSettings>
    <c:headerFooter alignWithMargins="0"/>
    <c:pageMargins b="1" l="0.750000000000002" r="0.750000000000002"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rgbClr val="000000"/>
                </a:solidFill>
                <a:latin typeface="Arial"/>
                <a:ea typeface="Arial"/>
                <a:cs typeface="Arial"/>
              </a:defRPr>
            </a:pPr>
            <a:r>
              <a:rPr lang="nl-NL"/>
              <a:t>Hoe belangrijk acht men de factor 'werksfeer' voor betrokkenheid van medewerkers bij de organisatie?</a:t>
            </a:r>
          </a:p>
        </c:rich>
      </c:tx>
      <c:layout>
        <c:manualLayout>
          <c:xMode val="edge"/>
          <c:yMode val="edge"/>
          <c:x val="0.13786784004940628"/>
          <c:y val="1.8867924528301903E-2"/>
        </c:manualLayout>
      </c:layout>
      <c:overlay val="0"/>
      <c:spPr>
        <a:noFill/>
        <a:ln w="25400">
          <a:noFill/>
        </a:ln>
      </c:spPr>
    </c:title>
    <c:autoTitleDeleted val="0"/>
    <c:plotArea>
      <c:layout>
        <c:manualLayout>
          <c:layoutTarget val="inner"/>
          <c:xMode val="edge"/>
          <c:yMode val="edge"/>
          <c:x val="5.5147108322240797E-2"/>
          <c:y val="0.19182448845472325"/>
          <c:w val="0.90257433954067401"/>
          <c:h val="0.45597624304811302"/>
        </c:manualLayout>
      </c:layout>
      <c:barChart>
        <c:barDir val="bar"/>
        <c:grouping val="clustered"/>
        <c:varyColors val="0"/>
        <c:ser>
          <c:idx val="0"/>
          <c:order val="0"/>
          <c:tx>
            <c:strRef>
              <c:f>'H2'!$J$106</c:f>
              <c:strCache>
                <c:ptCount val="1"/>
                <c:pt idx="0">
                  <c:v>Medewerkers volgens u</c:v>
                </c:pt>
              </c:strCache>
            </c:strRef>
          </c:tx>
          <c:spPr>
            <a:solidFill>
              <a:srgbClr val="CCFFFF"/>
            </a:solidFill>
            <a:ln w="12700">
              <a:solidFill>
                <a:srgbClr val="000000"/>
              </a:solidFill>
              <a:prstDash val="solid"/>
            </a:ln>
          </c:spPr>
          <c:invertIfNegative val="0"/>
          <c:val>
            <c:numRef>
              <c:f>'H2'!$C$110</c:f>
              <c:numCache>
                <c:formatCode>0</c:formatCode>
                <c:ptCount val="1"/>
                <c:pt idx="0">
                  <c:v>0</c:v>
                </c:pt>
              </c:numCache>
            </c:numRef>
          </c:val>
        </c:ser>
        <c:ser>
          <c:idx val="1"/>
          <c:order val="1"/>
          <c:tx>
            <c:strRef>
              <c:f>'H2'!$J$101</c:f>
              <c:strCache>
                <c:ptCount val="1"/>
                <c:pt idx="0">
                  <c:v>Medewerkers volgens onderzoek</c:v>
                </c:pt>
              </c:strCache>
            </c:strRef>
          </c:tx>
          <c:spPr>
            <a:solidFill>
              <a:srgbClr val="0000FF"/>
            </a:solidFill>
            <a:ln w="12700">
              <a:solidFill>
                <a:srgbClr val="000000"/>
              </a:solidFill>
              <a:prstDash val="solid"/>
            </a:ln>
          </c:spPr>
          <c:invertIfNegative val="0"/>
          <c:val>
            <c:numRef>
              <c:f>'H2'!$D$114</c:f>
              <c:numCache>
                <c:formatCode>General</c:formatCode>
                <c:ptCount val="1"/>
                <c:pt idx="0">
                  <c:v>0</c:v>
                </c:pt>
              </c:numCache>
            </c:numRef>
          </c:val>
        </c:ser>
        <c:ser>
          <c:idx val="2"/>
          <c:order val="2"/>
          <c:tx>
            <c:strRef>
              <c:f>'H2'!$J$108</c:f>
              <c:strCache>
                <c:ptCount val="1"/>
                <c:pt idx="0">
                  <c:v>Werkgevers volgens u</c:v>
                </c:pt>
              </c:strCache>
            </c:strRef>
          </c:tx>
          <c:spPr>
            <a:solidFill>
              <a:srgbClr val="FFCC99"/>
            </a:solidFill>
            <a:ln w="12700">
              <a:solidFill>
                <a:srgbClr val="000000"/>
              </a:solidFill>
              <a:prstDash val="solid"/>
            </a:ln>
          </c:spPr>
          <c:invertIfNegative val="0"/>
          <c:val>
            <c:numRef>
              <c:f>'H2'!$C$112</c:f>
              <c:numCache>
                <c:formatCode>0</c:formatCode>
                <c:ptCount val="1"/>
                <c:pt idx="0">
                  <c:v>0</c:v>
                </c:pt>
              </c:numCache>
            </c:numRef>
          </c:val>
        </c:ser>
        <c:ser>
          <c:idx val="3"/>
          <c:order val="3"/>
          <c:tx>
            <c:strRef>
              <c:f>'H2'!$J$103</c:f>
              <c:strCache>
                <c:ptCount val="1"/>
                <c:pt idx="0">
                  <c:v>Werkgevers volgens onderzoek</c:v>
                </c:pt>
              </c:strCache>
            </c:strRef>
          </c:tx>
          <c:spPr>
            <a:solidFill>
              <a:srgbClr val="FF0000"/>
            </a:solidFill>
            <a:ln w="12700">
              <a:solidFill>
                <a:srgbClr val="000000"/>
              </a:solidFill>
              <a:prstDash val="solid"/>
            </a:ln>
          </c:spPr>
          <c:invertIfNegative val="0"/>
          <c:val>
            <c:numRef>
              <c:f>'H2'!$D$115</c:f>
              <c:numCache>
                <c:formatCode>General</c:formatCode>
                <c:ptCount val="1"/>
                <c:pt idx="0">
                  <c:v>0</c:v>
                </c:pt>
              </c:numCache>
            </c:numRef>
          </c:val>
        </c:ser>
        <c:dLbls>
          <c:showLegendKey val="0"/>
          <c:showVal val="0"/>
          <c:showCatName val="0"/>
          <c:showSerName val="0"/>
          <c:showPercent val="0"/>
          <c:showBubbleSize val="0"/>
        </c:dLbls>
        <c:gapWidth val="150"/>
        <c:axId val="292581600"/>
        <c:axId val="292584736"/>
      </c:barChart>
      <c:catAx>
        <c:axId val="292581600"/>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850" b="0" i="0" u="none" strike="noStrike" baseline="0">
                <a:solidFill>
                  <a:srgbClr val="000000"/>
                </a:solidFill>
                <a:latin typeface="Arial"/>
                <a:ea typeface="Arial"/>
                <a:cs typeface="Arial"/>
              </a:defRPr>
            </a:pPr>
            <a:endParaRPr lang="nl-NL"/>
          </a:p>
        </c:txPr>
        <c:crossAx val="292584736"/>
        <c:crosses val="autoZero"/>
        <c:auto val="1"/>
        <c:lblAlgn val="ctr"/>
        <c:lblOffset val="100"/>
        <c:tickLblSkip val="1"/>
        <c:tickMarkSkip val="1"/>
        <c:noMultiLvlLbl val="0"/>
      </c:catAx>
      <c:valAx>
        <c:axId val="292584736"/>
        <c:scaling>
          <c:orientation val="minMax"/>
        </c:scaling>
        <c:delete val="0"/>
        <c:axPos val="b"/>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850" b="0" i="0" u="none" strike="noStrike" baseline="0">
                <a:solidFill>
                  <a:srgbClr val="000000"/>
                </a:solidFill>
                <a:latin typeface="Arial"/>
                <a:ea typeface="Arial"/>
                <a:cs typeface="Arial"/>
              </a:defRPr>
            </a:pPr>
            <a:endParaRPr lang="nl-NL"/>
          </a:p>
        </c:txPr>
        <c:crossAx val="292581600"/>
        <c:crosses val="autoZero"/>
        <c:crossBetween val="between"/>
      </c:valAx>
      <c:spPr>
        <a:noFill/>
        <a:ln w="12700">
          <a:solidFill>
            <a:srgbClr val="808080"/>
          </a:solidFill>
          <a:prstDash val="solid"/>
        </a:ln>
      </c:spPr>
    </c:plotArea>
    <c:legend>
      <c:legendPos val="b"/>
      <c:layout>
        <c:manualLayout>
          <c:xMode val="edge"/>
          <c:yMode val="edge"/>
          <c:x val="1.8382352941176502E-2"/>
          <c:y val="0.78616583304445564"/>
          <c:w val="0.957721360197622"/>
          <c:h val="0.19496921375394125"/>
        </c:manualLayout>
      </c:layout>
      <c:overlay val="0"/>
      <c:spPr>
        <a:solidFill>
          <a:srgbClr val="FFFFFF"/>
        </a:solidFill>
        <a:ln w="3175">
          <a:solidFill>
            <a:srgbClr val="000000"/>
          </a:solidFill>
          <a:prstDash val="solid"/>
        </a:ln>
      </c:spPr>
      <c:txPr>
        <a:bodyPr/>
        <a:lstStyle/>
        <a:p>
          <a:pPr>
            <a:defRPr sz="1100" b="0" i="0" u="none" strike="noStrike" baseline="0">
              <a:solidFill>
                <a:srgbClr val="000000"/>
              </a:solidFill>
              <a:latin typeface="Arial"/>
              <a:ea typeface="Arial"/>
              <a:cs typeface="Arial"/>
            </a:defRPr>
          </a:pPr>
          <a:endParaRPr lang="nl-NL"/>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nl-NL"/>
    </a:p>
  </c:txPr>
  <c:printSettings>
    <c:headerFooter alignWithMargins="0"/>
    <c:pageMargins b="1" l="0.750000000000002" r="0.750000000000002" t="1" header="0.5" footer="0.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nl-NL"/>
              <a:t>Pareto-
analyse</a:t>
            </a:r>
          </a:p>
        </c:rich>
      </c:tx>
      <c:layout>
        <c:manualLayout>
          <c:xMode val="edge"/>
          <c:yMode val="edge"/>
          <c:x val="0.38764044943820208"/>
          <c:y val="1.3192612137203198E-2"/>
        </c:manualLayout>
      </c:layout>
      <c:overlay val="0"/>
      <c:spPr>
        <a:noFill/>
        <a:ln w="25400">
          <a:noFill/>
        </a:ln>
      </c:spPr>
    </c:title>
    <c:autoTitleDeleted val="0"/>
    <c:plotArea>
      <c:layout>
        <c:manualLayout>
          <c:layoutTarget val="inner"/>
          <c:xMode val="edge"/>
          <c:yMode val="edge"/>
          <c:x val="0.21348314606741653"/>
          <c:y val="0.1213721880310392"/>
          <c:w val="0.58426966292134586"/>
          <c:h val="0.69657081826509426"/>
        </c:manualLayout>
      </c:layout>
      <c:barChart>
        <c:barDir val="col"/>
        <c:grouping val="clustered"/>
        <c:varyColors val="0"/>
        <c:ser>
          <c:idx val="1"/>
          <c:order val="0"/>
          <c:tx>
            <c:strRef>
              <c:f>'H3'!$D$336</c:f>
              <c:strCache>
                <c:ptCount val="1"/>
                <c:pt idx="0">
                  <c:v>Procent</c:v>
                </c:pt>
              </c:strCache>
            </c:strRef>
          </c:tx>
          <c:spPr>
            <a:pattFill prst="pct50">
              <a:fgClr>
                <a:srgbClr val="000000"/>
              </a:fgClr>
              <a:bgClr>
                <a:srgbClr val="FFFFFF"/>
              </a:bgClr>
            </a:pattFill>
            <a:ln w="12700">
              <a:solidFill>
                <a:srgbClr val="000000"/>
              </a:solidFill>
              <a:prstDash val="solid"/>
            </a:ln>
          </c:spPr>
          <c:invertIfNegative val="0"/>
          <c:val>
            <c:numRef>
              <c:f>'H3'!$D$337:$D$343</c:f>
              <c:numCache>
                <c:formatCode>0.00</c:formatCode>
                <c:ptCount val="7"/>
                <c:pt idx="0">
                  <c:v>0</c:v>
                </c:pt>
                <c:pt idx="1">
                  <c:v>0</c:v>
                </c:pt>
                <c:pt idx="2">
                  <c:v>0</c:v>
                </c:pt>
                <c:pt idx="3">
                  <c:v>0</c:v>
                </c:pt>
                <c:pt idx="4">
                  <c:v>0</c:v>
                </c:pt>
                <c:pt idx="5">
                  <c:v>0</c:v>
                </c:pt>
                <c:pt idx="6">
                  <c:v>0</c:v>
                </c:pt>
              </c:numCache>
            </c:numRef>
          </c:val>
        </c:ser>
        <c:dLbls>
          <c:showLegendKey val="0"/>
          <c:showVal val="0"/>
          <c:showCatName val="0"/>
          <c:showSerName val="0"/>
          <c:showPercent val="0"/>
          <c:showBubbleSize val="0"/>
        </c:dLbls>
        <c:gapWidth val="150"/>
        <c:axId val="292583168"/>
        <c:axId val="292584344"/>
      </c:barChart>
      <c:lineChart>
        <c:grouping val="standard"/>
        <c:varyColors val="0"/>
        <c:ser>
          <c:idx val="0"/>
          <c:order val="1"/>
          <c:tx>
            <c:strRef>
              <c:f>'H3'!$E$336</c:f>
              <c:strCache>
                <c:ptCount val="1"/>
                <c:pt idx="0">
                  <c:v>Cumulatief</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val>
            <c:numRef>
              <c:f>'H3'!$E$337:$E$343</c:f>
              <c:numCache>
                <c:formatCode>0.00</c:formatCode>
                <c:ptCount val="7"/>
                <c:pt idx="0">
                  <c:v>0</c:v>
                </c:pt>
                <c:pt idx="1">
                  <c:v>0</c:v>
                </c:pt>
                <c:pt idx="2">
                  <c:v>0</c:v>
                </c:pt>
                <c:pt idx="3">
                  <c:v>0</c:v>
                </c:pt>
                <c:pt idx="4">
                  <c:v>0</c:v>
                </c:pt>
                <c:pt idx="5">
                  <c:v>0</c:v>
                </c:pt>
                <c:pt idx="6">
                  <c:v>0</c:v>
                </c:pt>
              </c:numCache>
            </c:numRef>
          </c:val>
          <c:smooth val="0"/>
        </c:ser>
        <c:dLbls>
          <c:showLegendKey val="0"/>
          <c:showVal val="0"/>
          <c:showCatName val="0"/>
          <c:showSerName val="0"/>
          <c:showPercent val="0"/>
          <c:showBubbleSize val="0"/>
        </c:dLbls>
        <c:marker val="1"/>
        <c:smooth val="0"/>
        <c:axId val="292585128"/>
        <c:axId val="292585520"/>
      </c:lineChart>
      <c:catAx>
        <c:axId val="292583168"/>
        <c:scaling>
          <c:orientation val="minMax"/>
        </c:scaling>
        <c:delete val="0"/>
        <c:axPos val="b"/>
        <c:title>
          <c:tx>
            <c:rich>
              <a:bodyPr/>
              <a:lstStyle/>
              <a:p>
                <a:pPr>
                  <a:defRPr sz="1000" b="1" i="0" u="none" strike="noStrike" baseline="0">
                    <a:solidFill>
                      <a:srgbClr val="000000"/>
                    </a:solidFill>
                    <a:latin typeface="Arial"/>
                    <a:ea typeface="Arial"/>
                    <a:cs typeface="Arial"/>
                  </a:defRPr>
                </a:pPr>
                <a:r>
                  <a:rPr lang="nl-NL"/>
                  <a:t>Foutensoorten</a:t>
                </a:r>
              </a:p>
            </c:rich>
          </c:tx>
          <c:layout>
            <c:manualLayout>
              <c:xMode val="edge"/>
              <c:yMode val="edge"/>
              <c:x val="0.3735955056179785"/>
              <c:y val="0.89973725579817165"/>
            </c:manualLayout>
          </c:layout>
          <c:overlay val="0"/>
          <c:spPr>
            <a:noFill/>
            <a:ln w="25400">
              <a:noFill/>
            </a:ln>
          </c:spPr>
        </c:title>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nl-NL"/>
          </a:p>
        </c:txPr>
        <c:crossAx val="292584344"/>
        <c:crosses val="autoZero"/>
        <c:auto val="1"/>
        <c:lblAlgn val="ctr"/>
        <c:lblOffset val="100"/>
        <c:tickLblSkip val="1"/>
        <c:tickMarkSkip val="1"/>
        <c:noMultiLvlLbl val="0"/>
      </c:catAx>
      <c:valAx>
        <c:axId val="292584344"/>
        <c:scaling>
          <c:orientation val="minMax"/>
        </c:scaling>
        <c:delete val="0"/>
        <c:axPos val="l"/>
        <c:majorGridlines>
          <c:spPr>
            <a:ln w="3175">
              <a:solidFill>
                <a:srgbClr val="000000"/>
              </a:solidFill>
              <a:prstDash val="solid"/>
            </a:ln>
          </c:spPr>
        </c:majorGridlines>
        <c:title>
          <c:tx>
            <c:rich>
              <a:bodyPr/>
              <a:lstStyle/>
              <a:p>
                <a:pPr>
                  <a:defRPr sz="1000" b="1" i="0" u="none" strike="noStrike" baseline="0">
                    <a:solidFill>
                      <a:srgbClr val="000000"/>
                    </a:solidFill>
                    <a:latin typeface="Arial"/>
                    <a:ea typeface="Arial"/>
                    <a:cs typeface="Arial"/>
                  </a:defRPr>
                </a:pPr>
                <a:r>
                  <a:rPr lang="nl-NL"/>
                  <a:t>Percentueel</a:t>
                </a:r>
              </a:p>
            </c:rich>
          </c:tx>
          <c:layout>
            <c:manualLayout>
              <c:xMode val="edge"/>
              <c:yMode val="edge"/>
              <c:x val="4.4943820224719121E-2"/>
              <c:y val="0.36411664900726576"/>
            </c:manualLayout>
          </c:layout>
          <c:overlay val="0"/>
          <c:spPr>
            <a:noFill/>
            <a:ln w="25400">
              <a:noFill/>
            </a:ln>
          </c:spPr>
        </c:title>
        <c:numFmt formatCode="0.00"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nl-NL"/>
          </a:p>
        </c:txPr>
        <c:crossAx val="292583168"/>
        <c:crosses val="autoZero"/>
        <c:crossBetween val="between"/>
      </c:valAx>
      <c:catAx>
        <c:axId val="292585128"/>
        <c:scaling>
          <c:orientation val="minMax"/>
        </c:scaling>
        <c:delete val="1"/>
        <c:axPos val="b"/>
        <c:majorTickMark val="out"/>
        <c:minorTickMark val="none"/>
        <c:tickLblPos val="none"/>
        <c:crossAx val="292585520"/>
        <c:crosses val="autoZero"/>
        <c:auto val="1"/>
        <c:lblAlgn val="ctr"/>
        <c:lblOffset val="100"/>
        <c:noMultiLvlLbl val="0"/>
      </c:catAx>
      <c:valAx>
        <c:axId val="292585520"/>
        <c:scaling>
          <c:orientation val="minMax"/>
        </c:scaling>
        <c:delete val="1"/>
        <c:axPos val="l"/>
        <c:numFmt formatCode="0.00" sourceLinked="1"/>
        <c:majorTickMark val="out"/>
        <c:minorTickMark val="none"/>
        <c:tickLblPos val="none"/>
        <c:crossAx val="292585128"/>
        <c:crosses val="autoZero"/>
        <c:crossBetween val="between"/>
      </c:valAx>
      <c:spPr>
        <a:gradFill rotWithShape="0">
          <a:gsLst>
            <a:gs pos="0">
              <a:srgbClr val="FFFFFF"/>
            </a:gs>
            <a:gs pos="100000">
              <a:srgbClr val="FFFFFF"/>
            </a:gs>
          </a:gsLst>
          <a:lin ang="5400000" scaled="1"/>
        </a:gradFill>
        <a:ln w="25400">
          <a:solidFill>
            <a:srgbClr val="808080"/>
          </a:solidFill>
          <a:prstDash val="solid"/>
        </a:ln>
      </c:spPr>
    </c:plotArea>
    <c:legend>
      <c:legendPos val="r"/>
      <c:layout>
        <c:manualLayout>
          <c:xMode val="edge"/>
          <c:yMode val="edge"/>
          <c:x val="1.404494382022467E-2"/>
          <c:y val="1.3192612137203198E-2"/>
          <c:w val="0.28089887640449557"/>
          <c:h val="0.113456741390176"/>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a:ea typeface="Arial"/>
              <a:cs typeface="Arial"/>
            </a:defRPr>
          </a:pPr>
          <a:endParaRPr lang="nl-NL"/>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Arial"/>
          <a:ea typeface="Arial"/>
          <a:cs typeface="Arial"/>
        </a:defRPr>
      </a:pPr>
      <a:endParaRPr lang="nl-NL"/>
    </a:p>
  </c:txPr>
  <c:printSettings>
    <c:headerFooter alignWithMargins="0"/>
    <c:pageMargins b="1" l="0.750000000000002" r="0.750000000000002" t="1" header="0.5" footer="0.5"/>
    <c:pageSetup/>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1.jpeg"/><Relationship Id="rId2" Type="http://schemas.openxmlformats.org/officeDocument/2006/relationships/hyperlink" Target="http://www.ted.com/talks/derek_sivers_weird_or_just_different.html" TargetMode="External"/><Relationship Id="rId1" Type="http://schemas.openxmlformats.org/officeDocument/2006/relationships/chart" Target="../charts/chart1.xml"/><Relationship Id="rId5" Type="http://schemas.openxmlformats.org/officeDocument/2006/relationships/image" Target="../media/image2.jpeg"/><Relationship Id="rId4" Type="http://schemas.openxmlformats.org/officeDocument/2006/relationships/hyperlink" Target="http://www.ted.com/talks/derek_sivers_how_to_start_a_movement.html" TargetMode="External"/></Relationships>
</file>

<file path=xl/drawings/_rels/drawing2.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image" Target="../media/image3.jpeg"/><Relationship Id="rId1" Type="http://schemas.openxmlformats.org/officeDocument/2006/relationships/hyperlink" Target="http://www.youtube.com/watch?v=B7drEvHo7vA" TargetMode="External"/><Relationship Id="rId6" Type="http://schemas.openxmlformats.org/officeDocument/2006/relationships/hyperlink" Target="http://www.youtube.com/watch?v=8MEP2y6XEn8" TargetMode="External"/><Relationship Id="rId5" Type="http://schemas.openxmlformats.org/officeDocument/2006/relationships/image" Target="../media/image4.jpeg"/><Relationship Id="rId4" Type="http://schemas.openxmlformats.org/officeDocument/2006/relationships/hyperlink" Target="http://www.boomuitgeversdenhaag.nl/?view=books&amp;id=11908&amp;menutree=4|3|2|362&amp;show_book_in_search" TargetMode="External"/></Relationships>
</file>

<file path=xl/drawings/_rels/drawing3.xml.rels><?xml version="1.0" encoding="UTF-8" standalone="yes"?>
<Relationships xmlns="http://schemas.openxmlformats.org/package/2006/relationships"><Relationship Id="rId8" Type="http://schemas.openxmlformats.org/officeDocument/2006/relationships/hyperlink" Target="http://www.youtube.com/watch?v=3-AnGoJiDNo" TargetMode="External"/><Relationship Id="rId13" Type="http://schemas.openxmlformats.org/officeDocument/2006/relationships/image" Target="../media/image10.jpeg"/><Relationship Id="rId3" Type="http://schemas.openxmlformats.org/officeDocument/2006/relationships/hyperlink" Target="http://www.youtube.com/watch?v=x5iHDh1aUbI" TargetMode="External"/><Relationship Id="rId7" Type="http://schemas.openxmlformats.org/officeDocument/2006/relationships/chart" Target="../charts/chart3.xml"/><Relationship Id="rId12" Type="http://schemas.openxmlformats.org/officeDocument/2006/relationships/hyperlink" Target="http://www.youtube.com/watch?v=thIhSrt7NVU" TargetMode="External"/><Relationship Id="rId2" Type="http://schemas.openxmlformats.org/officeDocument/2006/relationships/image" Target="../media/image5.jpeg"/><Relationship Id="rId1" Type="http://schemas.openxmlformats.org/officeDocument/2006/relationships/hyperlink" Target="http://www.youtube.com/watch?v=jYpCuCDftDM" TargetMode="External"/><Relationship Id="rId6" Type="http://schemas.openxmlformats.org/officeDocument/2006/relationships/image" Target="../media/image7.png"/><Relationship Id="rId11" Type="http://schemas.openxmlformats.org/officeDocument/2006/relationships/image" Target="../media/image9.jpeg"/><Relationship Id="rId5" Type="http://schemas.openxmlformats.org/officeDocument/2006/relationships/hyperlink" Target="http://www.youtube.com/watch?v=C1yYB85ArHE&amp;feature=related" TargetMode="External"/><Relationship Id="rId10" Type="http://schemas.openxmlformats.org/officeDocument/2006/relationships/hyperlink" Target="http://www.youtube.com/watch?v=8DX8JpY8laI" TargetMode="External"/><Relationship Id="rId4" Type="http://schemas.openxmlformats.org/officeDocument/2006/relationships/image" Target="../media/image6.png"/><Relationship Id="rId9" Type="http://schemas.openxmlformats.org/officeDocument/2006/relationships/image" Target="../media/image8.jpeg"/><Relationship Id="rId14" Type="http://schemas.openxmlformats.org/officeDocument/2006/relationships/hyperlink" Target="https://www.youtube.com/watch?v=4ccrwDkP_CQ" TargetMode="External"/></Relationships>
</file>

<file path=xl/drawings/_rels/drawing4.xml.rels><?xml version="1.0" encoding="UTF-8" standalone="yes"?>
<Relationships xmlns="http://schemas.openxmlformats.org/package/2006/relationships"><Relationship Id="rId13" Type="http://schemas.openxmlformats.org/officeDocument/2006/relationships/hyperlink" Target="http://www.youtube.com/watch?v=-hoo_dIOP8k&amp;feature=my_favorites&amp;list=FLIMBWU4TqWeH-v3MKQDAQQA" TargetMode="External"/><Relationship Id="rId18" Type="http://schemas.openxmlformats.org/officeDocument/2006/relationships/hyperlink" Target="http://www.youtube.com/watch?v=85RVEas4AXs" TargetMode="External"/><Relationship Id="rId26" Type="http://schemas.openxmlformats.org/officeDocument/2006/relationships/image" Target="../media/image22.png"/><Relationship Id="rId39" Type="http://schemas.openxmlformats.org/officeDocument/2006/relationships/hyperlink" Target="https://www.youtube.com/watch?v=ivlI0HvUPQo" TargetMode="External"/><Relationship Id="rId3" Type="http://schemas.openxmlformats.org/officeDocument/2006/relationships/hyperlink" Target="https://www.youtube.com/watch?v=m2XdWDu3Flc" TargetMode="External"/><Relationship Id="rId21" Type="http://schemas.openxmlformats.org/officeDocument/2006/relationships/image" Target="../media/image20.gif"/><Relationship Id="rId34" Type="http://schemas.openxmlformats.org/officeDocument/2006/relationships/image" Target="../media/image26.png"/><Relationship Id="rId42" Type="http://schemas.openxmlformats.org/officeDocument/2006/relationships/hyperlink" Target="http://www.outplacement-kosten.nl/" TargetMode="External"/><Relationship Id="rId47" Type="http://schemas.openxmlformats.org/officeDocument/2006/relationships/image" Target="../media/image32.png"/><Relationship Id="rId50" Type="http://schemas.openxmlformats.org/officeDocument/2006/relationships/hyperlink" Target="https://www.youtube.com/watch?v=-Fj3qBEL0sU" TargetMode="External"/><Relationship Id="rId7" Type="http://schemas.openxmlformats.org/officeDocument/2006/relationships/hyperlink" Target="http://www.youtube.com/watch?v=ewo1Lxs7hGk" TargetMode="External"/><Relationship Id="rId12" Type="http://schemas.openxmlformats.org/officeDocument/2006/relationships/image" Target="../media/image16.jpeg"/><Relationship Id="rId17" Type="http://schemas.openxmlformats.org/officeDocument/2006/relationships/image" Target="../media/image18.png"/><Relationship Id="rId25" Type="http://schemas.openxmlformats.org/officeDocument/2006/relationships/hyperlink" Target="http://www.youtube.com/watch?v=vxuxmUZfmpI" TargetMode="External"/><Relationship Id="rId33" Type="http://schemas.openxmlformats.org/officeDocument/2006/relationships/hyperlink" Target="http://www.allesoverhr.nl/Themas/Basisinformatie%20HRM%20-%20Belangrijkste%20wetgeving.aspx" TargetMode="External"/><Relationship Id="rId38" Type="http://schemas.openxmlformats.org/officeDocument/2006/relationships/image" Target="../media/image28.jpeg"/><Relationship Id="rId46" Type="http://schemas.openxmlformats.org/officeDocument/2006/relationships/image" Target="../media/image31.jpeg"/><Relationship Id="rId2" Type="http://schemas.openxmlformats.org/officeDocument/2006/relationships/image" Target="../media/image11.png"/><Relationship Id="rId16" Type="http://schemas.openxmlformats.org/officeDocument/2006/relationships/hyperlink" Target="http://www.youtube.com/watch?v=vwBbpQRkacs&amp;feature=BFa&amp;list=FLIMBWU4TqWeH-v3MKQDAQQA" TargetMode="External"/><Relationship Id="rId20" Type="http://schemas.openxmlformats.org/officeDocument/2006/relationships/hyperlink" Target="https://www.youtube.com/watch?v=wYDiSAzkOGU" TargetMode="External"/><Relationship Id="rId29" Type="http://schemas.openxmlformats.org/officeDocument/2006/relationships/hyperlink" Target="http://www.youtube.com/watch?v=zi8iKnXoV0M&amp;feature=related" TargetMode="External"/><Relationship Id="rId41" Type="http://schemas.openxmlformats.org/officeDocument/2006/relationships/image" Target="../media/image29.png"/><Relationship Id="rId54" Type="http://schemas.openxmlformats.org/officeDocument/2006/relationships/image" Target="../media/image34.gif"/><Relationship Id="rId1" Type="http://schemas.openxmlformats.org/officeDocument/2006/relationships/hyperlink" Target="http://www.youtube.com/watch?v=vRTPeQZfp_A&amp;feature=channel" TargetMode="External"/><Relationship Id="rId6" Type="http://schemas.openxmlformats.org/officeDocument/2006/relationships/image" Target="../media/image13.png"/><Relationship Id="rId11" Type="http://schemas.openxmlformats.org/officeDocument/2006/relationships/hyperlink" Target="http://www.rijksoverheid.nl/onderwerpen/arbeidsovereenkomst-en-cao/vraag-en-antwoord/wat-zijn-arbeidsvoorwaarden.html" TargetMode="External"/><Relationship Id="rId24" Type="http://schemas.openxmlformats.org/officeDocument/2006/relationships/hyperlink" Target="http://content.yudu.com/Library/A1esy4/samenvatting/resources/1.htm" TargetMode="External"/><Relationship Id="rId32" Type="http://schemas.openxmlformats.org/officeDocument/2006/relationships/image" Target="../media/image25.jpeg"/><Relationship Id="rId37" Type="http://schemas.openxmlformats.org/officeDocument/2006/relationships/hyperlink" Target="http://www.roa.unimaas.nl/pdf_publications/2002/ROA-R-2002_15.pdf" TargetMode="External"/><Relationship Id="rId40" Type="http://schemas.openxmlformats.org/officeDocument/2006/relationships/hyperlink" Target="http://wetten.overheid.nl/BWBR0003026/geldigheidsdatum_05-08-2012" TargetMode="External"/><Relationship Id="rId45" Type="http://schemas.openxmlformats.org/officeDocument/2006/relationships/hyperlink" Target="http://www.youtube.com/watch?v=iYRyxTSfqmk" TargetMode="External"/><Relationship Id="rId53" Type="http://schemas.openxmlformats.org/officeDocument/2006/relationships/hyperlink" Target="http://www.mt.nl/" TargetMode="External"/><Relationship Id="rId5" Type="http://schemas.openxmlformats.org/officeDocument/2006/relationships/hyperlink" Target="http://www.youtube.com/watch?v=O6CH86S8ddo" TargetMode="External"/><Relationship Id="rId15" Type="http://schemas.openxmlformats.org/officeDocument/2006/relationships/hyperlink" Target="http://www.youtube.com/watch?v=2vQPwBR8_zE" TargetMode="External"/><Relationship Id="rId23" Type="http://schemas.openxmlformats.org/officeDocument/2006/relationships/image" Target="../media/image21.png"/><Relationship Id="rId28" Type="http://schemas.openxmlformats.org/officeDocument/2006/relationships/image" Target="../media/image23.jpeg"/><Relationship Id="rId36" Type="http://schemas.openxmlformats.org/officeDocument/2006/relationships/image" Target="../media/image27.jpeg"/><Relationship Id="rId49" Type="http://schemas.openxmlformats.org/officeDocument/2006/relationships/image" Target="../media/image33.png"/><Relationship Id="rId10" Type="http://schemas.openxmlformats.org/officeDocument/2006/relationships/image" Target="../media/image15.jpeg"/><Relationship Id="rId19" Type="http://schemas.openxmlformats.org/officeDocument/2006/relationships/image" Target="../media/image19.jpeg"/><Relationship Id="rId31" Type="http://schemas.openxmlformats.org/officeDocument/2006/relationships/hyperlink" Target="http://blog.ted.com/2010/05/31/dan_ariely_asks/" TargetMode="External"/><Relationship Id="rId44" Type="http://schemas.openxmlformats.org/officeDocument/2006/relationships/hyperlink" Target="http://www.youtube.com/watch?v=tphUgySkejE&amp;playnext=1&amp;list=PL5A8DCA161CD46C58&amp;feature=results_main" TargetMode="External"/><Relationship Id="rId52" Type="http://schemas.openxmlformats.org/officeDocument/2006/relationships/hyperlink" Target="https://www.youtube.com/watch?v=goZfARvWqZs" TargetMode="External"/><Relationship Id="rId4" Type="http://schemas.openxmlformats.org/officeDocument/2006/relationships/image" Target="../media/image12.jpeg"/><Relationship Id="rId9" Type="http://schemas.openxmlformats.org/officeDocument/2006/relationships/hyperlink" Target="http://decentrale.regelgeving.overheid.nl/cvdr/XHTMLoutput/Actueel/Brummen/87010.html" TargetMode="External"/><Relationship Id="rId14" Type="http://schemas.openxmlformats.org/officeDocument/2006/relationships/image" Target="../media/image17.jpeg"/><Relationship Id="rId22" Type="http://schemas.openxmlformats.org/officeDocument/2006/relationships/hyperlink" Target="http://www.youtube.com/watch?v=AC8lLtXFPaY" TargetMode="External"/><Relationship Id="rId27" Type="http://schemas.openxmlformats.org/officeDocument/2006/relationships/hyperlink" Target="http://www.youtube.com/watch?v=947wRN72Wg0" TargetMode="External"/><Relationship Id="rId30" Type="http://schemas.openxmlformats.org/officeDocument/2006/relationships/image" Target="../media/image24.jpeg"/><Relationship Id="rId35" Type="http://schemas.openxmlformats.org/officeDocument/2006/relationships/hyperlink" Target="http://www.youtube.com/watch?v=Pe7iIhhdyQ8&amp;feature=related" TargetMode="External"/><Relationship Id="rId43" Type="http://schemas.openxmlformats.org/officeDocument/2006/relationships/image" Target="../media/image30.png"/><Relationship Id="rId48" Type="http://schemas.openxmlformats.org/officeDocument/2006/relationships/hyperlink" Target="http://www.youtube.com/watch?v=3xsE4EvzQAg" TargetMode="External"/><Relationship Id="rId8" Type="http://schemas.openxmlformats.org/officeDocument/2006/relationships/image" Target="../media/image14.png"/><Relationship Id="rId51" Type="http://schemas.openxmlformats.org/officeDocument/2006/relationships/hyperlink" Target="https://www.youtube.com/watch?v=uPElpxKH9Kc" TargetMode="External"/></Relationships>
</file>

<file path=xl/drawings/_rels/drawing5.xml.rels><?xml version="1.0" encoding="UTF-8" standalone="yes"?>
<Relationships xmlns="http://schemas.openxmlformats.org/package/2006/relationships"><Relationship Id="rId8" Type="http://schemas.openxmlformats.org/officeDocument/2006/relationships/image" Target="../media/image38.png"/><Relationship Id="rId13" Type="http://schemas.openxmlformats.org/officeDocument/2006/relationships/image" Target="../media/image40.png"/><Relationship Id="rId18" Type="http://schemas.openxmlformats.org/officeDocument/2006/relationships/hyperlink" Target="http://www.youtube.com/watch?v=urQPraeeY0w" TargetMode="External"/><Relationship Id="rId3" Type="http://schemas.openxmlformats.org/officeDocument/2006/relationships/hyperlink" Target="http://www.ted.com/talks/jonathan_drori_on_what_we_think_we_know.html" TargetMode="External"/><Relationship Id="rId21" Type="http://schemas.openxmlformats.org/officeDocument/2006/relationships/hyperlink" Target="https://www.youtube.com/watch?v=e7QbR1rcJgs&amp;list=PL29552284C91E476F" TargetMode="External"/><Relationship Id="rId7" Type="http://schemas.openxmlformats.org/officeDocument/2006/relationships/hyperlink" Target="http://www.ted.com/talks/lang/en/margaret_heffernan_dare_to_disagree.html" TargetMode="External"/><Relationship Id="rId12" Type="http://schemas.openxmlformats.org/officeDocument/2006/relationships/hyperlink" Target="http://www.youtube.com/watch?v=s-poQaPPJbQ&amp;feature=related" TargetMode="External"/><Relationship Id="rId17" Type="http://schemas.openxmlformats.org/officeDocument/2006/relationships/image" Target="../media/image42.jpeg"/><Relationship Id="rId2" Type="http://schemas.openxmlformats.org/officeDocument/2006/relationships/image" Target="../media/image35.png"/><Relationship Id="rId16" Type="http://schemas.openxmlformats.org/officeDocument/2006/relationships/hyperlink" Target="http://www.mt.nl/99/28829/vaardigheden/in-8-stappen-naar-inspirerend-leiderschap.html" TargetMode="External"/><Relationship Id="rId20" Type="http://schemas.openxmlformats.org/officeDocument/2006/relationships/hyperlink" Target="download.ted.com/talks/SheenaIyengar_2010G.mp4" TargetMode="External"/><Relationship Id="rId1" Type="http://schemas.openxmlformats.org/officeDocument/2006/relationships/hyperlink" Target="http://www.ted.com/talks/simon_sinek_how_great_leaders_inspire_action.html" TargetMode="External"/><Relationship Id="rId6" Type="http://schemas.openxmlformats.org/officeDocument/2006/relationships/image" Target="../media/image37.png"/><Relationship Id="rId11" Type="http://schemas.openxmlformats.org/officeDocument/2006/relationships/hyperlink" Target="http://www.youtube.com/watch?v=c8w4PxFBwO4&amp;feature=related" TargetMode="External"/><Relationship Id="rId5" Type="http://schemas.openxmlformats.org/officeDocument/2006/relationships/hyperlink" Target="http://www.ted.com/talks/dan_pink_on_motivation.html" TargetMode="External"/><Relationship Id="rId15" Type="http://schemas.openxmlformats.org/officeDocument/2006/relationships/image" Target="../media/image41.jpeg"/><Relationship Id="rId10" Type="http://schemas.openxmlformats.org/officeDocument/2006/relationships/image" Target="../media/image39.png"/><Relationship Id="rId19" Type="http://schemas.openxmlformats.org/officeDocument/2006/relationships/image" Target="../media/image30.png"/><Relationship Id="rId4" Type="http://schemas.openxmlformats.org/officeDocument/2006/relationships/image" Target="../media/image36.png"/><Relationship Id="rId9" Type="http://schemas.openxmlformats.org/officeDocument/2006/relationships/hyperlink" Target="http://www.youtube.com/watch?v=AFBs7rMCPBc&amp;feature=related" TargetMode="External"/><Relationship Id="rId14" Type="http://schemas.openxmlformats.org/officeDocument/2006/relationships/hyperlink" Target="http://123management.nl/0/030_cultuur/a300_cultuur_10_leiderschapsstijlen.html" TargetMode="External"/><Relationship Id="rId22" Type="http://schemas.openxmlformats.org/officeDocument/2006/relationships/hyperlink" Target="https://www.youtube.com/watch?v=s-poQaPPJbQ" TargetMode="External"/></Relationships>
</file>

<file path=xl/drawings/_rels/drawing6.xml.rels><?xml version="1.0" encoding="UTF-8" standalone="yes"?>
<Relationships xmlns="http://schemas.openxmlformats.org/package/2006/relationships"><Relationship Id="rId8" Type="http://schemas.openxmlformats.org/officeDocument/2006/relationships/hyperlink" Target="http://www.youtube.com/watch?v=idvvrdpNTzw" TargetMode="External"/><Relationship Id="rId13" Type="http://schemas.openxmlformats.org/officeDocument/2006/relationships/hyperlink" Target="http://www.rechtspraak.nl/Pages/default.aspx" TargetMode="External"/><Relationship Id="rId18" Type="http://schemas.openxmlformats.org/officeDocument/2006/relationships/hyperlink" Target="http://www.youtube.com/watch?v=PL8vtNXiuQ4" TargetMode="External"/><Relationship Id="rId26" Type="http://schemas.openxmlformats.org/officeDocument/2006/relationships/hyperlink" Target="http://www.arboportaal.nl/onderwerpen/arbowet--en--regelgeving" TargetMode="External"/><Relationship Id="rId3" Type="http://schemas.openxmlformats.org/officeDocument/2006/relationships/hyperlink" Target="http://www.youtube.com/watch?v=xPK5XbvNJU0" TargetMode="External"/><Relationship Id="rId21" Type="http://schemas.openxmlformats.org/officeDocument/2006/relationships/hyperlink" Target="http://www.sducommentaar.nl/commentaar/wet-arbeid-en-zorg-artikel-59-tm-514" TargetMode="External"/><Relationship Id="rId7" Type="http://schemas.openxmlformats.org/officeDocument/2006/relationships/hyperlink" Target="http://www.youtube.com/watch?v=2vQPwBR8_zE" TargetMode="External"/><Relationship Id="rId12" Type="http://schemas.openxmlformats.org/officeDocument/2006/relationships/hyperlink" Target="http://www.belastingdienst.nl/wps/wcm/connect/bldcontentnl/themaoverstijgend/programmas_en_formulieren/aanvraag_verklaring_arbeidsrelatie_online_formulier" TargetMode="External"/><Relationship Id="rId17" Type="http://schemas.openxmlformats.org/officeDocument/2006/relationships/image" Target="../media/image5.jpeg"/><Relationship Id="rId25" Type="http://schemas.openxmlformats.org/officeDocument/2006/relationships/hyperlink" Target="http://www.or.nl/" TargetMode="External"/><Relationship Id="rId2" Type="http://schemas.openxmlformats.org/officeDocument/2006/relationships/image" Target="../media/image32.png"/><Relationship Id="rId16" Type="http://schemas.openxmlformats.org/officeDocument/2006/relationships/hyperlink" Target="http://www.caoweb.nl/" TargetMode="External"/><Relationship Id="rId20" Type="http://schemas.openxmlformats.org/officeDocument/2006/relationships/hyperlink" Target="http://www.youtube.com/watch?v=9qo5mZGwvew&amp;feature=related" TargetMode="External"/><Relationship Id="rId29" Type="http://schemas.openxmlformats.org/officeDocument/2006/relationships/hyperlink" Target="https://www.youtube.com/watch?v=6FRrK5SAqYg" TargetMode="External"/><Relationship Id="rId1" Type="http://schemas.openxmlformats.org/officeDocument/2006/relationships/hyperlink" Target="http://www.youtube.com/watch?v=IxgbZqlgC04" TargetMode="External"/><Relationship Id="rId6" Type="http://schemas.openxmlformats.org/officeDocument/2006/relationships/hyperlink" Target="http://www.youtube.com/watch?v=2A7BA56bsjU" TargetMode="External"/><Relationship Id="rId11" Type="http://schemas.openxmlformats.org/officeDocument/2006/relationships/hyperlink" Target="http://www.youtube.com/watch?v=nHjdLyq5o0k" TargetMode="External"/><Relationship Id="rId24" Type="http://schemas.openxmlformats.org/officeDocument/2006/relationships/hyperlink" Target="http://www.pwdegidsvakbase.nl/artikel/concurrentiebeding?gclid=CMey9oqW2b8CFamWtAodViwAcA" TargetMode="External"/><Relationship Id="rId32" Type="http://schemas.openxmlformats.org/officeDocument/2006/relationships/hyperlink" Target="http://www.st-ab.nl/index.html" TargetMode="External"/><Relationship Id="rId5" Type="http://schemas.openxmlformats.org/officeDocument/2006/relationships/hyperlink" Target="http://www.youtube.com/watch?v=bHycIOmgbF8&amp;feature=related" TargetMode="External"/><Relationship Id="rId15" Type="http://schemas.openxmlformats.org/officeDocument/2006/relationships/hyperlink" Target="http://wetten.overheid.nl/zoeken/" TargetMode="External"/><Relationship Id="rId23" Type="http://schemas.openxmlformats.org/officeDocument/2006/relationships/hyperlink" Target="https://www.werk.nl/werk_nl/werkgever/meerweten/werkvergunning" TargetMode="External"/><Relationship Id="rId28" Type="http://schemas.openxmlformats.org/officeDocument/2006/relationships/hyperlink" Target="http://www.arbeidsrechter.nl/bw" TargetMode="External"/><Relationship Id="rId10" Type="http://schemas.openxmlformats.org/officeDocument/2006/relationships/hyperlink" Target="http://www.youtube.com/watch?v=bXy9wpR2JKg&amp;feature=relmfu" TargetMode="External"/><Relationship Id="rId19" Type="http://schemas.openxmlformats.org/officeDocument/2006/relationships/hyperlink" Target="http://www.youtube.com/watch?v=vRTPeQZfp_A&amp;feature=channel" TargetMode="External"/><Relationship Id="rId31" Type="http://schemas.openxmlformats.org/officeDocument/2006/relationships/hyperlink" Target="https://www.youtube.com/watch?v=vgezXsE6-vg" TargetMode="External"/><Relationship Id="rId4" Type="http://schemas.openxmlformats.org/officeDocument/2006/relationships/hyperlink" Target="http://www.youtube.com/watch?v=zX3TNAsggUA" TargetMode="External"/><Relationship Id="rId9" Type="http://schemas.openxmlformats.org/officeDocument/2006/relationships/hyperlink" Target="https://www.youtube.com/watch?v=AQun9Ul3v-g" TargetMode="External"/><Relationship Id="rId14" Type="http://schemas.openxmlformats.org/officeDocument/2006/relationships/hyperlink" Target="http://www.salarisinfostartpagina.nl/wet_flexibiliteit_en_zekerheid.htm" TargetMode="External"/><Relationship Id="rId22" Type="http://schemas.openxmlformats.org/officeDocument/2006/relationships/hyperlink" Target="http://wetten.overheid.nl/BWBR0013008/geldigheidsdatum_22-07-2014" TargetMode="External"/><Relationship Id="rId27" Type="http://schemas.openxmlformats.org/officeDocument/2006/relationships/hyperlink" Target="http://www.arbeidstijdenwet.nl/" TargetMode="External"/><Relationship Id="rId30" Type="http://schemas.openxmlformats.org/officeDocument/2006/relationships/hyperlink" Target="https://www.youtube.com/watch?v=SyAtMIlvJpw" TargetMode="External"/></Relationships>
</file>

<file path=xl/drawings/drawing1.xml><?xml version="1.0" encoding="utf-8"?>
<xdr:wsDr xmlns:xdr="http://schemas.openxmlformats.org/drawingml/2006/spreadsheetDrawing" xmlns:a="http://schemas.openxmlformats.org/drawingml/2006/main">
  <xdr:twoCellAnchor>
    <xdr:from>
      <xdr:col>3</xdr:col>
      <xdr:colOff>666750</xdr:colOff>
      <xdr:row>4</xdr:row>
      <xdr:rowOff>28575</xdr:rowOff>
    </xdr:from>
    <xdr:to>
      <xdr:col>4</xdr:col>
      <xdr:colOff>933450</xdr:colOff>
      <xdr:row>9</xdr:row>
      <xdr:rowOff>85725</xdr:rowOff>
    </xdr:to>
    <xdr:sp macro="" textlink="">
      <xdr:nvSpPr>
        <xdr:cNvPr id="99456" name="Line 3"/>
        <xdr:cNvSpPr>
          <a:spLocks noChangeShapeType="1"/>
        </xdr:cNvSpPr>
      </xdr:nvSpPr>
      <xdr:spPr bwMode="auto">
        <a:xfrm flipH="1">
          <a:off x="5915025" y="676275"/>
          <a:ext cx="1314450" cy="1028700"/>
        </a:xfrm>
        <a:prstGeom prst="line">
          <a:avLst/>
        </a:prstGeom>
        <a:noFill/>
        <a:ln w="9525">
          <a:solidFill>
            <a:srgbClr val="000000"/>
          </a:solidFill>
          <a:round/>
          <a:headEnd/>
          <a:tailEnd type="triangle" w="med" len="med"/>
        </a:ln>
      </xdr:spPr>
    </xdr:sp>
    <xdr:clientData/>
  </xdr:twoCellAnchor>
  <xdr:twoCellAnchor>
    <xdr:from>
      <xdr:col>4</xdr:col>
      <xdr:colOff>85725</xdr:colOff>
      <xdr:row>10</xdr:row>
      <xdr:rowOff>142875</xdr:rowOff>
    </xdr:from>
    <xdr:to>
      <xdr:col>6</xdr:col>
      <xdr:colOff>895350</xdr:colOff>
      <xdr:row>10</xdr:row>
      <xdr:rowOff>142875</xdr:rowOff>
    </xdr:to>
    <xdr:sp macro="" textlink="">
      <xdr:nvSpPr>
        <xdr:cNvPr id="99457" name="Line 4"/>
        <xdr:cNvSpPr>
          <a:spLocks noChangeShapeType="1"/>
        </xdr:cNvSpPr>
      </xdr:nvSpPr>
      <xdr:spPr bwMode="auto">
        <a:xfrm>
          <a:off x="6381750" y="1924050"/>
          <a:ext cx="2905125" cy="0"/>
        </a:xfrm>
        <a:prstGeom prst="line">
          <a:avLst/>
        </a:prstGeom>
        <a:noFill/>
        <a:ln w="9525">
          <a:solidFill>
            <a:srgbClr val="000000"/>
          </a:solidFill>
          <a:round/>
          <a:headEnd/>
          <a:tailEnd type="triangle" w="med" len="med"/>
        </a:ln>
      </xdr:spPr>
    </xdr:sp>
    <xdr:clientData/>
  </xdr:twoCellAnchor>
  <xdr:twoCellAnchor>
    <xdr:from>
      <xdr:col>6</xdr:col>
      <xdr:colOff>104775</xdr:colOff>
      <xdr:row>4</xdr:row>
      <xdr:rowOff>47625</xdr:rowOff>
    </xdr:from>
    <xdr:to>
      <xdr:col>7</xdr:col>
      <xdr:colOff>523875</xdr:colOff>
      <xdr:row>9</xdr:row>
      <xdr:rowOff>85725</xdr:rowOff>
    </xdr:to>
    <xdr:sp macro="" textlink="">
      <xdr:nvSpPr>
        <xdr:cNvPr id="99458" name="Line 5"/>
        <xdr:cNvSpPr>
          <a:spLocks noChangeShapeType="1"/>
        </xdr:cNvSpPr>
      </xdr:nvSpPr>
      <xdr:spPr bwMode="auto">
        <a:xfrm>
          <a:off x="8496300" y="695325"/>
          <a:ext cx="1562100" cy="1009650"/>
        </a:xfrm>
        <a:prstGeom prst="line">
          <a:avLst/>
        </a:prstGeom>
        <a:noFill/>
        <a:ln w="9525">
          <a:solidFill>
            <a:srgbClr val="000000"/>
          </a:solidFill>
          <a:round/>
          <a:headEnd type="triangle" w="med" len="med"/>
          <a:tailEnd type="triangle" w="med" len="med"/>
        </a:ln>
      </xdr:spPr>
    </xdr:sp>
    <xdr:clientData/>
  </xdr:twoCellAnchor>
  <xdr:twoCellAnchor>
    <xdr:from>
      <xdr:col>7</xdr:col>
      <xdr:colOff>590550</xdr:colOff>
      <xdr:row>11</xdr:row>
      <xdr:rowOff>47625</xdr:rowOff>
    </xdr:from>
    <xdr:to>
      <xdr:col>7</xdr:col>
      <xdr:colOff>590550</xdr:colOff>
      <xdr:row>14</xdr:row>
      <xdr:rowOff>0</xdr:rowOff>
    </xdr:to>
    <xdr:sp macro="" textlink="">
      <xdr:nvSpPr>
        <xdr:cNvPr id="99459" name="Line 6"/>
        <xdr:cNvSpPr>
          <a:spLocks noChangeShapeType="1"/>
        </xdr:cNvSpPr>
      </xdr:nvSpPr>
      <xdr:spPr bwMode="auto">
        <a:xfrm>
          <a:off x="10125075" y="2152650"/>
          <a:ext cx="0" cy="438150"/>
        </a:xfrm>
        <a:prstGeom prst="line">
          <a:avLst/>
        </a:prstGeom>
        <a:noFill/>
        <a:ln w="9525">
          <a:solidFill>
            <a:srgbClr val="000000"/>
          </a:solidFill>
          <a:round/>
          <a:headEnd/>
          <a:tailEnd type="triangle" w="med" len="med"/>
        </a:ln>
      </xdr:spPr>
    </xdr:sp>
    <xdr:clientData/>
  </xdr:twoCellAnchor>
  <xdr:twoCellAnchor>
    <xdr:from>
      <xdr:col>4</xdr:col>
      <xdr:colOff>552450</xdr:colOff>
      <xdr:row>28</xdr:row>
      <xdr:rowOff>47625</xdr:rowOff>
    </xdr:from>
    <xdr:to>
      <xdr:col>5</xdr:col>
      <xdr:colOff>314325</xdr:colOff>
      <xdr:row>36</xdr:row>
      <xdr:rowOff>57150</xdr:rowOff>
    </xdr:to>
    <xdr:sp macro="" textlink="">
      <xdr:nvSpPr>
        <xdr:cNvPr id="99460" name="Line 8"/>
        <xdr:cNvSpPr>
          <a:spLocks noChangeShapeType="1"/>
        </xdr:cNvSpPr>
      </xdr:nvSpPr>
      <xdr:spPr bwMode="auto">
        <a:xfrm flipH="1" flipV="1">
          <a:off x="6848475" y="5629275"/>
          <a:ext cx="809625" cy="1304925"/>
        </a:xfrm>
        <a:prstGeom prst="line">
          <a:avLst/>
        </a:prstGeom>
        <a:noFill/>
        <a:ln w="9525">
          <a:solidFill>
            <a:srgbClr val="000000"/>
          </a:solidFill>
          <a:round/>
          <a:headEnd/>
          <a:tailEnd/>
        </a:ln>
      </xdr:spPr>
    </xdr:sp>
    <xdr:clientData/>
  </xdr:twoCellAnchor>
  <xdr:twoCellAnchor>
    <xdr:from>
      <xdr:col>3</xdr:col>
      <xdr:colOff>733425</xdr:colOff>
      <xdr:row>28</xdr:row>
      <xdr:rowOff>38100</xdr:rowOff>
    </xdr:from>
    <xdr:to>
      <xdr:col>4</xdr:col>
      <xdr:colOff>542925</xdr:colOff>
      <xdr:row>36</xdr:row>
      <xdr:rowOff>66675</xdr:rowOff>
    </xdr:to>
    <xdr:sp macro="" textlink="">
      <xdr:nvSpPr>
        <xdr:cNvPr id="99461" name="Line 9"/>
        <xdr:cNvSpPr>
          <a:spLocks noChangeShapeType="1"/>
        </xdr:cNvSpPr>
      </xdr:nvSpPr>
      <xdr:spPr bwMode="auto">
        <a:xfrm flipH="1">
          <a:off x="5981700" y="5619750"/>
          <a:ext cx="857250" cy="1323975"/>
        </a:xfrm>
        <a:prstGeom prst="line">
          <a:avLst/>
        </a:prstGeom>
        <a:noFill/>
        <a:ln w="9525">
          <a:solidFill>
            <a:srgbClr val="000000"/>
          </a:solidFill>
          <a:round/>
          <a:headEnd/>
          <a:tailEnd/>
        </a:ln>
      </xdr:spPr>
    </xdr:sp>
    <xdr:clientData/>
  </xdr:twoCellAnchor>
  <xdr:twoCellAnchor>
    <xdr:from>
      <xdr:col>3</xdr:col>
      <xdr:colOff>733425</xdr:colOff>
      <xdr:row>36</xdr:row>
      <xdr:rowOff>57150</xdr:rowOff>
    </xdr:from>
    <xdr:to>
      <xdr:col>5</xdr:col>
      <xdr:colOff>314325</xdr:colOff>
      <xdr:row>36</xdr:row>
      <xdr:rowOff>57150</xdr:rowOff>
    </xdr:to>
    <xdr:sp macro="" textlink="">
      <xdr:nvSpPr>
        <xdr:cNvPr id="99462" name="Line 10"/>
        <xdr:cNvSpPr>
          <a:spLocks noChangeShapeType="1"/>
        </xdr:cNvSpPr>
      </xdr:nvSpPr>
      <xdr:spPr bwMode="auto">
        <a:xfrm>
          <a:off x="5981700" y="6934200"/>
          <a:ext cx="1676400" cy="0"/>
        </a:xfrm>
        <a:prstGeom prst="line">
          <a:avLst/>
        </a:prstGeom>
        <a:noFill/>
        <a:ln w="9525">
          <a:solidFill>
            <a:srgbClr val="000000"/>
          </a:solidFill>
          <a:round/>
          <a:headEnd/>
          <a:tailEnd/>
        </a:ln>
      </xdr:spPr>
    </xdr:sp>
    <xdr:clientData/>
  </xdr:twoCellAnchor>
  <xdr:twoCellAnchor>
    <xdr:from>
      <xdr:col>6</xdr:col>
      <xdr:colOff>628650</xdr:colOff>
      <xdr:row>28</xdr:row>
      <xdr:rowOff>19050</xdr:rowOff>
    </xdr:from>
    <xdr:to>
      <xdr:col>7</xdr:col>
      <xdr:colOff>180975</xdr:colOff>
      <xdr:row>36</xdr:row>
      <xdr:rowOff>47625</xdr:rowOff>
    </xdr:to>
    <xdr:sp macro="" textlink="">
      <xdr:nvSpPr>
        <xdr:cNvPr id="99463" name="Line 11"/>
        <xdr:cNvSpPr>
          <a:spLocks noChangeShapeType="1"/>
        </xdr:cNvSpPr>
      </xdr:nvSpPr>
      <xdr:spPr bwMode="auto">
        <a:xfrm flipH="1" flipV="1">
          <a:off x="9020175" y="5600700"/>
          <a:ext cx="695325" cy="1323975"/>
        </a:xfrm>
        <a:prstGeom prst="line">
          <a:avLst/>
        </a:prstGeom>
        <a:noFill/>
        <a:ln w="9525">
          <a:solidFill>
            <a:srgbClr val="000000"/>
          </a:solidFill>
          <a:round/>
          <a:headEnd/>
          <a:tailEnd/>
        </a:ln>
      </xdr:spPr>
    </xdr:sp>
    <xdr:clientData/>
  </xdr:twoCellAnchor>
  <xdr:twoCellAnchor>
    <xdr:from>
      <xdr:col>5</xdr:col>
      <xdr:colOff>876300</xdr:colOff>
      <xdr:row>28</xdr:row>
      <xdr:rowOff>19050</xdr:rowOff>
    </xdr:from>
    <xdr:to>
      <xdr:col>6</xdr:col>
      <xdr:colOff>628650</xdr:colOff>
      <xdr:row>36</xdr:row>
      <xdr:rowOff>28575</xdr:rowOff>
    </xdr:to>
    <xdr:sp macro="" textlink="">
      <xdr:nvSpPr>
        <xdr:cNvPr id="99464" name="Line 12"/>
        <xdr:cNvSpPr>
          <a:spLocks noChangeShapeType="1"/>
        </xdr:cNvSpPr>
      </xdr:nvSpPr>
      <xdr:spPr bwMode="auto">
        <a:xfrm flipH="1">
          <a:off x="8220075" y="5600700"/>
          <a:ext cx="800100" cy="1304925"/>
        </a:xfrm>
        <a:prstGeom prst="line">
          <a:avLst/>
        </a:prstGeom>
        <a:noFill/>
        <a:ln w="9525">
          <a:solidFill>
            <a:srgbClr val="000000"/>
          </a:solidFill>
          <a:round/>
          <a:headEnd/>
          <a:tailEnd/>
        </a:ln>
      </xdr:spPr>
    </xdr:sp>
    <xdr:clientData/>
  </xdr:twoCellAnchor>
  <xdr:twoCellAnchor>
    <xdr:from>
      <xdr:col>5</xdr:col>
      <xdr:colOff>876300</xdr:colOff>
      <xdr:row>36</xdr:row>
      <xdr:rowOff>47625</xdr:rowOff>
    </xdr:from>
    <xdr:to>
      <xdr:col>7</xdr:col>
      <xdr:colOff>180975</xdr:colOff>
      <xdr:row>36</xdr:row>
      <xdr:rowOff>47625</xdr:rowOff>
    </xdr:to>
    <xdr:sp macro="" textlink="">
      <xdr:nvSpPr>
        <xdr:cNvPr id="99465" name="Line 13"/>
        <xdr:cNvSpPr>
          <a:spLocks noChangeShapeType="1"/>
        </xdr:cNvSpPr>
      </xdr:nvSpPr>
      <xdr:spPr bwMode="auto">
        <a:xfrm>
          <a:off x="8220075" y="6924675"/>
          <a:ext cx="1495425" cy="0"/>
        </a:xfrm>
        <a:prstGeom prst="line">
          <a:avLst/>
        </a:prstGeom>
        <a:noFill/>
        <a:ln w="9525">
          <a:solidFill>
            <a:srgbClr val="000000"/>
          </a:solidFill>
          <a:round/>
          <a:headEnd/>
          <a:tailEnd/>
        </a:ln>
      </xdr:spPr>
    </xdr:sp>
    <xdr:clientData/>
  </xdr:twoCellAnchor>
  <xdr:twoCellAnchor>
    <xdr:from>
      <xdr:col>5</xdr:col>
      <xdr:colOff>114300</xdr:colOff>
      <xdr:row>32</xdr:row>
      <xdr:rowOff>152400</xdr:rowOff>
    </xdr:from>
    <xdr:to>
      <xdr:col>5</xdr:col>
      <xdr:colOff>1095375</xdr:colOff>
      <xdr:row>33</xdr:row>
      <xdr:rowOff>76200</xdr:rowOff>
    </xdr:to>
    <xdr:sp macro="" textlink="">
      <xdr:nvSpPr>
        <xdr:cNvPr id="99466" name="AutoShape 14"/>
        <xdr:cNvSpPr>
          <a:spLocks noChangeArrowheads="1"/>
        </xdr:cNvSpPr>
      </xdr:nvSpPr>
      <xdr:spPr bwMode="auto">
        <a:xfrm>
          <a:off x="7458075" y="6381750"/>
          <a:ext cx="933450" cy="85725"/>
        </a:xfrm>
        <a:prstGeom prst="leftRightArrow">
          <a:avLst>
            <a:gd name="adj1" fmla="val 50000"/>
            <a:gd name="adj2" fmla="val 217778"/>
          </a:avLst>
        </a:prstGeom>
        <a:solidFill>
          <a:srgbClr val="FFFFFF"/>
        </a:solidFill>
        <a:ln w="9525">
          <a:solidFill>
            <a:srgbClr val="000000"/>
          </a:solidFill>
          <a:miter lim="800000"/>
          <a:headEnd/>
          <a:tailEnd/>
        </a:ln>
      </xdr:spPr>
    </xdr:sp>
    <xdr:clientData/>
  </xdr:twoCellAnchor>
  <xdr:twoCellAnchor>
    <xdr:from>
      <xdr:col>3</xdr:col>
      <xdr:colOff>838200</xdr:colOff>
      <xdr:row>111</xdr:row>
      <xdr:rowOff>28575</xdr:rowOff>
    </xdr:from>
    <xdr:to>
      <xdr:col>7</xdr:col>
      <xdr:colOff>1066800</xdr:colOff>
      <xdr:row>123</xdr:row>
      <xdr:rowOff>9525</xdr:rowOff>
    </xdr:to>
    <xdr:graphicFrame macro="">
      <xdr:nvGraphicFramePr>
        <xdr:cNvPr id="99467" name="Chart 1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561975</xdr:colOff>
      <xdr:row>162</xdr:row>
      <xdr:rowOff>47625</xdr:rowOff>
    </xdr:from>
    <xdr:to>
      <xdr:col>5</xdr:col>
      <xdr:colOff>209550</xdr:colOff>
      <xdr:row>164</xdr:row>
      <xdr:rowOff>85725</xdr:rowOff>
    </xdr:to>
    <xdr:cxnSp macro="">
      <xdr:nvCxnSpPr>
        <xdr:cNvPr id="99468" name="AutoShape 19"/>
        <xdr:cNvCxnSpPr>
          <a:cxnSpLocks noChangeShapeType="1"/>
        </xdr:cNvCxnSpPr>
      </xdr:nvCxnSpPr>
      <xdr:spPr bwMode="auto">
        <a:xfrm rot="10800000">
          <a:off x="5810250" y="34270950"/>
          <a:ext cx="1743075" cy="361950"/>
        </a:xfrm>
        <a:prstGeom prst="bentConnector3">
          <a:avLst>
            <a:gd name="adj1" fmla="val 99574"/>
          </a:avLst>
        </a:prstGeom>
        <a:noFill/>
        <a:ln w="9525">
          <a:solidFill>
            <a:srgbClr val="000000"/>
          </a:solidFill>
          <a:miter lim="800000"/>
          <a:headEnd/>
          <a:tailEnd type="triangle" w="med" len="med"/>
        </a:ln>
      </xdr:spPr>
    </xdr:cxnSp>
    <xdr:clientData/>
  </xdr:twoCellAnchor>
  <xdr:twoCellAnchor>
    <xdr:from>
      <xdr:col>5</xdr:col>
      <xdr:colOff>838200</xdr:colOff>
      <xdr:row>162</xdr:row>
      <xdr:rowOff>28575</xdr:rowOff>
    </xdr:from>
    <xdr:to>
      <xdr:col>7</xdr:col>
      <xdr:colOff>704850</xdr:colOff>
      <xdr:row>164</xdr:row>
      <xdr:rowOff>104775</xdr:rowOff>
    </xdr:to>
    <xdr:cxnSp macro="">
      <xdr:nvCxnSpPr>
        <xdr:cNvPr id="99469" name="AutoShape 20"/>
        <xdr:cNvCxnSpPr>
          <a:cxnSpLocks noChangeShapeType="1"/>
        </xdr:cNvCxnSpPr>
      </xdr:nvCxnSpPr>
      <xdr:spPr bwMode="auto">
        <a:xfrm rot="10800000" flipV="1">
          <a:off x="8181975" y="34251900"/>
          <a:ext cx="2057400" cy="400050"/>
        </a:xfrm>
        <a:prstGeom prst="bentConnector3">
          <a:avLst>
            <a:gd name="adj1" fmla="val -5"/>
          </a:avLst>
        </a:prstGeom>
        <a:noFill/>
        <a:ln w="9525">
          <a:solidFill>
            <a:srgbClr val="000000"/>
          </a:solidFill>
          <a:miter lim="800000"/>
          <a:headEnd/>
          <a:tailEnd type="triangle" w="med" len="med"/>
        </a:ln>
      </xdr:spPr>
    </xdr:cxnSp>
    <xdr:clientData/>
  </xdr:twoCellAnchor>
  <xdr:twoCellAnchor>
    <xdr:from>
      <xdr:col>4</xdr:col>
      <xdr:colOff>914400</xdr:colOff>
      <xdr:row>157</xdr:row>
      <xdr:rowOff>104775</xdr:rowOff>
    </xdr:from>
    <xdr:to>
      <xdr:col>6</xdr:col>
      <xdr:colOff>323850</xdr:colOff>
      <xdr:row>157</xdr:row>
      <xdr:rowOff>104775</xdr:rowOff>
    </xdr:to>
    <xdr:sp macro="" textlink="">
      <xdr:nvSpPr>
        <xdr:cNvPr id="99470" name="Line 22"/>
        <xdr:cNvSpPr>
          <a:spLocks noChangeShapeType="1"/>
        </xdr:cNvSpPr>
      </xdr:nvSpPr>
      <xdr:spPr bwMode="auto">
        <a:xfrm>
          <a:off x="7210425" y="33518475"/>
          <a:ext cx="1504950" cy="0"/>
        </a:xfrm>
        <a:prstGeom prst="line">
          <a:avLst/>
        </a:prstGeom>
        <a:noFill/>
        <a:ln w="9525">
          <a:solidFill>
            <a:srgbClr val="000000"/>
          </a:solidFill>
          <a:round/>
          <a:headEnd/>
          <a:tailEnd type="triangle" w="med" len="med"/>
        </a:ln>
      </xdr:spPr>
    </xdr:sp>
    <xdr:clientData/>
  </xdr:twoCellAnchor>
  <xdr:twoCellAnchor>
    <xdr:from>
      <xdr:col>3</xdr:col>
      <xdr:colOff>561975</xdr:colOff>
      <xdr:row>157</xdr:row>
      <xdr:rowOff>85725</xdr:rowOff>
    </xdr:from>
    <xdr:to>
      <xdr:col>4</xdr:col>
      <xdr:colOff>142875</xdr:colOff>
      <xdr:row>159</xdr:row>
      <xdr:rowOff>142875</xdr:rowOff>
    </xdr:to>
    <xdr:cxnSp macro="">
      <xdr:nvCxnSpPr>
        <xdr:cNvPr id="99471" name="AutoShape 24"/>
        <xdr:cNvCxnSpPr>
          <a:cxnSpLocks noChangeShapeType="1"/>
        </xdr:cNvCxnSpPr>
      </xdr:nvCxnSpPr>
      <xdr:spPr bwMode="auto">
        <a:xfrm flipV="1">
          <a:off x="5810250" y="33499425"/>
          <a:ext cx="628650" cy="381000"/>
        </a:xfrm>
        <a:prstGeom prst="bentConnector3">
          <a:avLst>
            <a:gd name="adj1" fmla="val 1162"/>
          </a:avLst>
        </a:prstGeom>
        <a:noFill/>
        <a:ln w="9525">
          <a:solidFill>
            <a:srgbClr val="000000"/>
          </a:solidFill>
          <a:miter lim="800000"/>
          <a:headEnd/>
          <a:tailEnd type="triangle" w="med" len="med"/>
        </a:ln>
      </xdr:spPr>
    </xdr:cxnSp>
    <xdr:clientData/>
  </xdr:twoCellAnchor>
  <xdr:twoCellAnchor>
    <xdr:from>
      <xdr:col>6</xdr:col>
      <xdr:colOff>819150</xdr:colOff>
      <xdr:row>157</xdr:row>
      <xdr:rowOff>104775</xdr:rowOff>
    </xdr:from>
    <xdr:to>
      <xdr:col>7</xdr:col>
      <xdr:colOff>676275</xdr:colOff>
      <xdr:row>159</xdr:row>
      <xdr:rowOff>133350</xdr:rowOff>
    </xdr:to>
    <xdr:cxnSp macro="">
      <xdr:nvCxnSpPr>
        <xdr:cNvPr id="99472" name="AutoShape 25"/>
        <xdr:cNvCxnSpPr>
          <a:cxnSpLocks noChangeShapeType="1"/>
        </xdr:cNvCxnSpPr>
      </xdr:nvCxnSpPr>
      <xdr:spPr bwMode="auto">
        <a:xfrm>
          <a:off x="9210675" y="33518475"/>
          <a:ext cx="1000125" cy="352425"/>
        </a:xfrm>
        <a:prstGeom prst="bentConnector3">
          <a:avLst>
            <a:gd name="adj1" fmla="val 100741"/>
          </a:avLst>
        </a:prstGeom>
        <a:noFill/>
        <a:ln w="9525">
          <a:solidFill>
            <a:srgbClr val="000000"/>
          </a:solidFill>
          <a:miter lim="800000"/>
          <a:headEnd/>
          <a:tailEnd type="triangle" w="med" len="med"/>
        </a:ln>
      </xdr:spPr>
    </xdr:cxnSp>
    <xdr:clientData/>
  </xdr:twoCellAnchor>
  <xdr:twoCellAnchor>
    <xdr:from>
      <xdr:col>3</xdr:col>
      <xdr:colOff>819150</xdr:colOff>
      <xdr:row>161</xdr:row>
      <xdr:rowOff>114300</xdr:rowOff>
    </xdr:from>
    <xdr:to>
      <xdr:col>4</xdr:col>
      <xdr:colOff>504825</xdr:colOff>
      <xdr:row>163</xdr:row>
      <xdr:rowOff>19050</xdr:rowOff>
    </xdr:to>
    <xdr:sp macro="" textlink="">
      <xdr:nvSpPr>
        <xdr:cNvPr id="99473" name="Line 26"/>
        <xdr:cNvSpPr>
          <a:spLocks noChangeShapeType="1"/>
        </xdr:cNvSpPr>
      </xdr:nvSpPr>
      <xdr:spPr bwMode="auto">
        <a:xfrm flipH="1" flipV="1">
          <a:off x="6067425" y="34175700"/>
          <a:ext cx="733425" cy="228600"/>
        </a:xfrm>
        <a:prstGeom prst="line">
          <a:avLst/>
        </a:prstGeom>
        <a:noFill/>
        <a:ln w="9525">
          <a:solidFill>
            <a:srgbClr val="000000"/>
          </a:solidFill>
          <a:prstDash val="dash"/>
          <a:round/>
          <a:headEnd/>
          <a:tailEnd type="triangle" w="med" len="med"/>
        </a:ln>
      </xdr:spPr>
    </xdr:sp>
    <xdr:clientData/>
  </xdr:twoCellAnchor>
  <xdr:twoCellAnchor>
    <xdr:from>
      <xdr:col>4</xdr:col>
      <xdr:colOff>514350</xdr:colOff>
      <xdr:row>158</xdr:row>
      <xdr:rowOff>57150</xdr:rowOff>
    </xdr:from>
    <xdr:to>
      <xdr:col>4</xdr:col>
      <xdr:colOff>514350</xdr:colOff>
      <xdr:row>163</xdr:row>
      <xdr:rowOff>28575</xdr:rowOff>
    </xdr:to>
    <xdr:sp macro="" textlink="">
      <xdr:nvSpPr>
        <xdr:cNvPr id="99474" name="Line 27"/>
        <xdr:cNvSpPr>
          <a:spLocks noChangeShapeType="1"/>
        </xdr:cNvSpPr>
      </xdr:nvSpPr>
      <xdr:spPr bwMode="auto">
        <a:xfrm flipV="1">
          <a:off x="6810375" y="33632775"/>
          <a:ext cx="0" cy="781050"/>
        </a:xfrm>
        <a:prstGeom prst="line">
          <a:avLst/>
        </a:prstGeom>
        <a:noFill/>
        <a:ln w="9525">
          <a:solidFill>
            <a:srgbClr val="000000"/>
          </a:solidFill>
          <a:prstDash val="dash"/>
          <a:round/>
          <a:headEnd/>
          <a:tailEnd type="triangle" w="med" len="med"/>
        </a:ln>
      </xdr:spPr>
    </xdr:sp>
    <xdr:clientData/>
  </xdr:twoCellAnchor>
  <xdr:twoCellAnchor>
    <xdr:from>
      <xdr:col>4</xdr:col>
      <xdr:colOff>504825</xdr:colOff>
      <xdr:row>158</xdr:row>
      <xdr:rowOff>47625</xdr:rowOff>
    </xdr:from>
    <xdr:to>
      <xdr:col>6</xdr:col>
      <xdr:colOff>504825</xdr:colOff>
      <xdr:row>163</xdr:row>
      <xdr:rowOff>19050</xdr:rowOff>
    </xdr:to>
    <xdr:sp macro="" textlink="">
      <xdr:nvSpPr>
        <xdr:cNvPr id="99475" name="Line 28"/>
        <xdr:cNvSpPr>
          <a:spLocks noChangeShapeType="1"/>
        </xdr:cNvSpPr>
      </xdr:nvSpPr>
      <xdr:spPr bwMode="auto">
        <a:xfrm flipV="1">
          <a:off x="6800850" y="33623250"/>
          <a:ext cx="2095500" cy="781050"/>
        </a:xfrm>
        <a:prstGeom prst="line">
          <a:avLst/>
        </a:prstGeom>
        <a:noFill/>
        <a:ln w="9525">
          <a:solidFill>
            <a:srgbClr val="000000"/>
          </a:solidFill>
          <a:prstDash val="dash"/>
          <a:round/>
          <a:headEnd/>
          <a:tailEnd type="triangle" w="med" len="med"/>
        </a:ln>
      </xdr:spPr>
    </xdr:sp>
    <xdr:clientData/>
  </xdr:twoCellAnchor>
  <xdr:twoCellAnchor>
    <xdr:from>
      <xdr:col>4</xdr:col>
      <xdr:colOff>495300</xdr:colOff>
      <xdr:row>161</xdr:row>
      <xdr:rowOff>85725</xdr:rowOff>
    </xdr:from>
    <xdr:to>
      <xdr:col>7</xdr:col>
      <xdr:colOff>123825</xdr:colOff>
      <xdr:row>163</xdr:row>
      <xdr:rowOff>19050</xdr:rowOff>
    </xdr:to>
    <xdr:sp macro="" textlink="">
      <xdr:nvSpPr>
        <xdr:cNvPr id="99476" name="Line 29"/>
        <xdr:cNvSpPr>
          <a:spLocks noChangeShapeType="1"/>
        </xdr:cNvSpPr>
      </xdr:nvSpPr>
      <xdr:spPr bwMode="auto">
        <a:xfrm flipV="1">
          <a:off x="6791325" y="34147125"/>
          <a:ext cx="2867025" cy="257175"/>
        </a:xfrm>
        <a:prstGeom prst="line">
          <a:avLst/>
        </a:prstGeom>
        <a:noFill/>
        <a:ln w="9525">
          <a:solidFill>
            <a:srgbClr val="000000"/>
          </a:solidFill>
          <a:prstDash val="dash"/>
          <a:round/>
          <a:headEnd/>
          <a:tailEnd type="triangle" w="med" len="med"/>
        </a:ln>
      </xdr:spPr>
    </xdr:sp>
    <xdr:clientData/>
  </xdr:twoCellAnchor>
  <xdr:twoCellAnchor>
    <xdr:from>
      <xdr:col>3</xdr:col>
      <xdr:colOff>114300</xdr:colOff>
      <xdr:row>347</xdr:row>
      <xdr:rowOff>114300</xdr:rowOff>
    </xdr:from>
    <xdr:to>
      <xdr:col>7</xdr:col>
      <xdr:colOff>647700</xdr:colOff>
      <xdr:row>352</xdr:row>
      <xdr:rowOff>85725</xdr:rowOff>
    </xdr:to>
    <xdr:sp macro="" textlink="">
      <xdr:nvSpPr>
        <xdr:cNvPr id="99477" name="Line 30"/>
        <xdr:cNvSpPr>
          <a:spLocks noChangeShapeType="1"/>
        </xdr:cNvSpPr>
      </xdr:nvSpPr>
      <xdr:spPr bwMode="auto">
        <a:xfrm>
          <a:off x="5362575" y="70361175"/>
          <a:ext cx="4819650" cy="781050"/>
        </a:xfrm>
        <a:prstGeom prst="line">
          <a:avLst/>
        </a:prstGeom>
        <a:noFill/>
        <a:ln w="12700">
          <a:solidFill>
            <a:srgbClr val="000000"/>
          </a:solidFill>
          <a:round/>
          <a:headEnd/>
          <a:tailEnd type="triangle" w="med" len="med"/>
        </a:ln>
      </xdr:spPr>
    </xdr:sp>
    <xdr:clientData/>
  </xdr:twoCellAnchor>
  <xdr:twoCellAnchor>
    <xdr:from>
      <xdr:col>3</xdr:col>
      <xdr:colOff>76200</xdr:colOff>
      <xdr:row>353</xdr:row>
      <xdr:rowOff>114300</xdr:rowOff>
    </xdr:from>
    <xdr:to>
      <xdr:col>7</xdr:col>
      <xdr:colOff>114300</xdr:colOff>
      <xdr:row>353</xdr:row>
      <xdr:rowOff>114300</xdr:rowOff>
    </xdr:to>
    <xdr:sp macro="" textlink="">
      <xdr:nvSpPr>
        <xdr:cNvPr id="99478" name="Line 31"/>
        <xdr:cNvSpPr>
          <a:spLocks noChangeShapeType="1"/>
        </xdr:cNvSpPr>
      </xdr:nvSpPr>
      <xdr:spPr bwMode="auto">
        <a:xfrm flipH="1" flipV="1">
          <a:off x="5324475" y="71332725"/>
          <a:ext cx="4324350" cy="0"/>
        </a:xfrm>
        <a:prstGeom prst="line">
          <a:avLst/>
        </a:prstGeom>
        <a:noFill/>
        <a:ln w="9525">
          <a:solidFill>
            <a:srgbClr val="000000"/>
          </a:solidFill>
          <a:round/>
          <a:headEnd/>
          <a:tailEnd type="triangle" w="med" len="med"/>
        </a:ln>
      </xdr:spPr>
    </xdr:sp>
    <xdr:clientData/>
  </xdr:twoCellAnchor>
  <xdr:twoCellAnchor>
    <xdr:from>
      <xdr:col>2</xdr:col>
      <xdr:colOff>714375</xdr:colOff>
      <xdr:row>348</xdr:row>
      <xdr:rowOff>19050</xdr:rowOff>
    </xdr:from>
    <xdr:to>
      <xdr:col>2</xdr:col>
      <xdr:colOff>714375</xdr:colOff>
      <xdr:row>352</xdr:row>
      <xdr:rowOff>114300</xdr:rowOff>
    </xdr:to>
    <xdr:sp macro="" textlink="">
      <xdr:nvSpPr>
        <xdr:cNvPr id="99479" name="Line 32"/>
        <xdr:cNvSpPr>
          <a:spLocks noChangeShapeType="1"/>
        </xdr:cNvSpPr>
      </xdr:nvSpPr>
      <xdr:spPr bwMode="auto">
        <a:xfrm flipV="1">
          <a:off x="4914900" y="70427850"/>
          <a:ext cx="0" cy="742950"/>
        </a:xfrm>
        <a:prstGeom prst="line">
          <a:avLst/>
        </a:prstGeom>
        <a:noFill/>
        <a:ln w="9525">
          <a:solidFill>
            <a:srgbClr val="000000"/>
          </a:solidFill>
          <a:round/>
          <a:headEnd/>
          <a:tailEnd type="triangle" w="med" len="med"/>
        </a:ln>
      </xdr:spPr>
    </xdr:sp>
    <xdr:clientData/>
  </xdr:twoCellAnchor>
  <xdr:twoCellAnchor>
    <xdr:from>
      <xdr:col>2</xdr:col>
      <xdr:colOff>723900</xdr:colOff>
      <xdr:row>350</xdr:row>
      <xdr:rowOff>57150</xdr:rowOff>
    </xdr:from>
    <xdr:to>
      <xdr:col>3</xdr:col>
      <xdr:colOff>342900</xdr:colOff>
      <xdr:row>352</xdr:row>
      <xdr:rowOff>133350</xdr:rowOff>
    </xdr:to>
    <xdr:sp macro="" textlink="">
      <xdr:nvSpPr>
        <xdr:cNvPr id="99480" name="Line 33"/>
        <xdr:cNvSpPr>
          <a:spLocks noChangeShapeType="1"/>
        </xdr:cNvSpPr>
      </xdr:nvSpPr>
      <xdr:spPr bwMode="auto">
        <a:xfrm flipV="1">
          <a:off x="4924425" y="70789800"/>
          <a:ext cx="666750" cy="400050"/>
        </a:xfrm>
        <a:prstGeom prst="line">
          <a:avLst/>
        </a:prstGeom>
        <a:noFill/>
        <a:ln w="9525">
          <a:solidFill>
            <a:srgbClr val="000000"/>
          </a:solidFill>
          <a:prstDash val="dash"/>
          <a:round/>
          <a:headEnd/>
          <a:tailEnd type="triangle" w="med" len="med"/>
        </a:ln>
      </xdr:spPr>
    </xdr:sp>
    <xdr:clientData/>
  </xdr:twoCellAnchor>
  <xdr:twoCellAnchor>
    <xdr:from>
      <xdr:col>2</xdr:col>
      <xdr:colOff>723900</xdr:colOff>
      <xdr:row>350</xdr:row>
      <xdr:rowOff>133350</xdr:rowOff>
    </xdr:from>
    <xdr:to>
      <xdr:col>4</xdr:col>
      <xdr:colOff>123825</xdr:colOff>
      <xdr:row>352</xdr:row>
      <xdr:rowOff>133350</xdr:rowOff>
    </xdr:to>
    <xdr:sp macro="" textlink="">
      <xdr:nvSpPr>
        <xdr:cNvPr id="99481" name="Line 34"/>
        <xdr:cNvSpPr>
          <a:spLocks noChangeShapeType="1"/>
        </xdr:cNvSpPr>
      </xdr:nvSpPr>
      <xdr:spPr bwMode="auto">
        <a:xfrm flipV="1">
          <a:off x="4924425" y="70866000"/>
          <a:ext cx="1495425" cy="323850"/>
        </a:xfrm>
        <a:prstGeom prst="line">
          <a:avLst/>
        </a:prstGeom>
        <a:noFill/>
        <a:ln w="9525">
          <a:solidFill>
            <a:srgbClr val="000000"/>
          </a:solidFill>
          <a:prstDash val="dash"/>
          <a:round/>
          <a:headEnd/>
          <a:tailEnd type="triangle" w="med" len="med"/>
        </a:ln>
      </xdr:spPr>
    </xdr:sp>
    <xdr:clientData/>
  </xdr:twoCellAnchor>
  <xdr:twoCellAnchor>
    <xdr:from>
      <xdr:col>2</xdr:col>
      <xdr:colOff>714375</xdr:colOff>
      <xdr:row>351</xdr:row>
      <xdr:rowOff>95250</xdr:rowOff>
    </xdr:from>
    <xdr:to>
      <xdr:col>5</xdr:col>
      <xdr:colOff>19050</xdr:colOff>
      <xdr:row>352</xdr:row>
      <xdr:rowOff>133350</xdr:rowOff>
    </xdr:to>
    <xdr:sp macro="" textlink="">
      <xdr:nvSpPr>
        <xdr:cNvPr id="99482" name="Line 35"/>
        <xdr:cNvSpPr>
          <a:spLocks noChangeShapeType="1"/>
        </xdr:cNvSpPr>
      </xdr:nvSpPr>
      <xdr:spPr bwMode="auto">
        <a:xfrm flipV="1">
          <a:off x="4914900" y="70989825"/>
          <a:ext cx="2447925" cy="200025"/>
        </a:xfrm>
        <a:prstGeom prst="line">
          <a:avLst/>
        </a:prstGeom>
        <a:noFill/>
        <a:ln w="9525">
          <a:solidFill>
            <a:srgbClr val="000000"/>
          </a:solidFill>
          <a:prstDash val="dash"/>
          <a:round/>
          <a:headEnd/>
          <a:tailEnd type="triangle" w="med" len="med"/>
        </a:ln>
      </xdr:spPr>
    </xdr:sp>
    <xdr:clientData/>
  </xdr:twoCellAnchor>
  <xdr:twoCellAnchor>
    <xdr:from>
      <xdr:col>2</xdr:col>
      <xdr:colOff>704850</xdr:colOff>
      <xdr:row>352</xdr:row>
      <xdr:rowOff>123825</xdr:rowOff>
    </xdr:from>
    <xdr:to>
      <xdr:col>5</xdr:col>
      <xdr:colOff>885825</xdr:colOff>
      <xdr:row>352</xdr:row>
      <xdr:rowOff>123825</xdr:rowOff>
    </xdr:to>
    <xdr:sp macro="" textlink="">
      <xdr:nvSpPr>
        <xdr:cNvPr id="99483" name="Line 36"/>
        <xdr:cNvSpPr>
          <a:spLocks noChangeShapeType="1"/>
        </xdr:cNvSpPr>
      </xdr:nvSpPr>
      <xdr:spPr bwMode="auto">
        <a:xfrm>
          <a:off x="4905375" y="71180325"/>
          <a:ext cx="3324225" cy="0"/>
        </a:xfrm>
        <a:prstGeom prst="line">
          <a:avLst/>
        </a:prstGeom>
        <a:noFill/>
        <a:ln w="9525">
          <a:solidFill>
            <a:srgbClr val="000000"/>
          </a:solidFill>
          <a:prstDash val="dash"/>
          <a:round/>
          <a:headEnd/>
          <a:tailEnd type="triangle" w="med" len="med"/>
        </a:ln>
      </xdr:spPr>
    </xdr:sp>
    <xdr:clientData/>
  </xdr:twoCellAnchor>
  <xdr:twoCellAnchor editAs="oneCell">
    <xdr:from>
      <xdr:col>5</xdr:col>
      <xdr:colOff>28575</xdr:colOff>
      <xdr:row>168</xdr:row>
      <xdr:rowOff>19050</xdr:rowOff>
    </xdr:from>
    <xdr:to>
      <xdr:col>6</xdr:col>
      <xdr:colOff>895350</xdr:colOff>
      <xdr:row>181</xdr:row>
      <xdr:rowOff>114300</xdr:rowOff>
    </xdr:to>
    <xdr:pic>
      <xdr:nvPicPr>
        <xdr:cNvPr id="99484" name="Picture 37" descr="escher_waterfall">
          <a:hlinkClick xmlns:r="http://schemas.openxmlformats.org/officeDocument/2006/relationships" r:id="rId2"/>
        </xdr:cNvPr>
        <xdr:cNvPicPr>
          <a:picLocks noChangeAspect="1" noChangeArrowheads="1"/>
        </xdr:cNvPicPr>
      </xdr:nvPicPr>
      <xdr:blipFill>
        <a:blip xmlns:r="http://schemas.openxmlformats.org/officeDocument/2006/relationships" r:embed="rId3" cstate="print"/>
        <a:srcRect/>
        <a:stretch>
          <a:fillRect/>
        </a:stretch>
      </xdr:blipFill>
      <xdr:spPr bwMode="auto">
        <a:xfrm>
          <a:off x="7372350" y="35213925"/>
          <a:ext cx="1914525" cy="2552700"/>
        </a:xfrm>
        <a:prstGeom prst="rect">
          <a:avLst/>
        </a:prstGeom>
        <a:noFill/>
        <a:ln w="9525">
          <a:noFill/>
          <a:miter lim="800000"/>
          <a:headEnd/>
          <a:tailEnd/>
        </a:ln>
      </xdr:spPr>
    </xdr:pic>
    <xdr:clientData/>
  </xdr:twoCellAnchor>
  <xdr:twoCellAnchor editAs="oneCell">
    <xdr:from>
      <xdr:col>4</xdr:col>
      <xdr:colOff>19050</xdr:colOff>
      <xdr:row>208</xdr:row>
      <xdr:rowOff>114300</xdr:rowOff>
    </xdr:from>
    <xdr:to>
      <xdr:col>5</xdr:col>
      <xdr:colOff>447675</xdr:colOff>
      <xdr:row>215</xdr:row>
      <xdr:rowOff>85726</xdr:rowOff>
    </xdr:to>
    <xdr:pic>
      <xdr:nvPicPr>
        <xdr:cNvPr id="99485" name="Picture 38" descr="de-Denker-Rodin">
          <a:hlinkClick xmlns:r="http://schemas.openxmlformats.org/officeDocument/2006/relationships" r:id="rId4"/>
        </xdr:cNvPr>
        <xdr:cNvPicPr>
          <a:picLocks noChangeAspect="1" noChangeArrowheads="1"/>
        </xdr:cNvPicPr>
      </xdr:nvPicPr>
      <xdr:blipFill>
        <a:blip xmlns:r="http://schemas.openxmlformats.org/officeDocument/2006/relationships" r:embed="rId5" cstate="print"/>
        <a:srcRect/>
        <a:stretch>
          <a:fillRect/>
        </a:stretch>
      </xdr:blipFill>
      <xdr:spPr bwMode="auto">
        <a:xfrm>
          <a:off x="6315075" y="42291000"/>
          <a:ext cx="1476375" cy="1104900"/>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457200</xdr:colOff>
      <xdr:row>87</xdr:row>
      <xdr:rowOff>9525</xdr:rowOff>
    </xdr:from>
    <xdr:to>
      <xdr:col>5</xdr:col>
      <xdr:colOff>590550</xdr:colOff>
      <xdr:row>96</xdr:row>
      <xdr:rowOff>38100</xdr:rowOff>
    </xdr:to>
    <xdr:sp macro="" textlink="">
      <xdr:nvSpPr>
        <xdr:cNvPr id="6122" name="Oval 17"/>
        <xdr:cNvSpPr>
          <a:spLocks noChangeArrowheads="1"/>
        </xdr:cNvSpPr>
      </xdr:nvSpPr>
      <xdr:spPr bwMode="auto">
        <a:xfrm>
          <a:off x="5705475" y="14849475"/>
          <a:ext cx="2228850" cy="1647825"/>
        </a:xfrm>
        <a:prstGeom prst="ellipse">
          <a:avLst/>
        </a:prstGeom>
        <a:noFill/>
        <a:ln w="9525">
          <a:solidFill>
            <a:srgbClr val="000000"/>
          </a:solidFill>
          <a:round/>
          <a:headEnd/>
          <a:tailEnd/>
        </a:ln>
      </xdr:spPr>
    </xdr:sp>
    <xdr:clientData/>
  </xdr:twoCellAnchor>
  <xdr:twoCellAnchor>
    <xdr:from>
      <xdr:col>3</xdr:col>
      <xdr:colOff>304800</xdr:colOff>
      <xdr:row>85</xdr:row>
      <xdr:rowOff>28575</xdr:rowOff>
    </xdr:from>
    <xdr:to>
      <xdr:col>5</xdr:col>
      <xdr:colOff>790575</xdr:colOff>
      <xdr:row>97</xdr:row>
      <xdr:rowOff>95250</xdr:rowOff>
    </xdr:to>
    <xdr:sp macro="" textlink="">
      <xdr:nvSpPr>
        <xdr:cNvPr id="6123" name="Oval 15"/>
        <xdr:cNvSpPr>
          <a:spLocks noChangeArrowheads="1"/>
        </xdr:cNvSpPr>
      </xdr:nvSpPr>
      <xdr:spPr bwMode="auto">
        <a:xfrm>
          <a:off x="5553075" y="14544675"/>
          <a:ext cx="2581275" cy="2171700"/>
        </a:xfrm>
        <a:prstGeom prst="ellipse">
          <a:avLst/>
        </a:prstGeom>
        <a:noFill/>
        <a:ln w="9525">
          <a:solidFill>
            <a:srgbClr val="000000"/>
          </a:solidFill>
          <a:round/>
          <a:headEnd/>
          <a:tailEnd/>
        </a:ln>
      </xdr:spPr>
    </xdr:sp>
    <xdr:clientData/>
  </xdr:twoCellAnchor>
  <xdr:twoCellAnchor>
    <xdr:from>
      <xdr:col>3</xdr:col>
      <xdr:colOff>142875</xdr:colOff>
      <xdr:row>83</xdr:row>
      <xdr:rowOff>114300</xdr:rowOff>
    </xdr:from>
    <xdr:to>
      <xdr:col>5</xdr:col>
      <xdr:colOff>942975</xdr:colOff>
      <xdr:row>98</xdr:row>
      <xdr:rowOff>95250</xdr:rowOff>
    </xdr:to>
    <xdr:sp macro="" textlink="">
      <xdr:nvSpPr>
        <xdr:cNvPr id="6124" name="Oval 16"/>
        <xdr:cNvSpPr>
          <a:spLocks noChangeArrowheads="1"/>
        </xdr:cNvSpPr>
      </xdr:nvSpPr>
      <xdr:spPr bwMode="auto">
        <a:xfrm>
          <a:off x="5391150" y="14306550"/>
          <a:ext cx="2895600" cy="2571750"/>
        </a:xfrm>
        <a:prstGeom prst="ellipse">
          <a:avLst/>
        </a:prstGeom>
        <a:noFill/>
        <a:ln w="9525">
          <a:solidFill>
            <a:srgbClr val="000000"/>
          </a:solidFill>
          <a:round/>
          <a:headEnd/>
          <a:tailEnd/>
        </a:ln>
      </xdr:spPr>
    </xdr:sp>
    <xdr:clientData/>
  </xdr:twoCellAnchor>
  <xdr:twoCellAnchor>
    <xdr:from>
      <xdr:col>5</xdr:col>
      <xdr:colOff>409575</xdr:colOff>
      <xdr:row>36</xdr:row>
      <xdr:rowOff>38100</xdr:rowOff>
    </xdr:from>
    <xdr:to>
      <xdr:col>5</xdr:col>
      <xdr:colOff>552450</xdr:colOff>
      <xdr:row>37</xdr:row>
      <xdr:rowOff>114300</xdr:rowOff>
    </xdr:to>
    <xdr:sp macro="" textlink="">
      <xdr:nvSpPr>
        <xdr:cNvPr id="6125" name="AutoShape 1"/>
        <xdr:cNvSpPr>
          <a:spLocks noChangeArrowheads="1"/>
        </xdr:cNvSpPr>
      </xdr:nvSpPr>
      <xdr:spPr bwMode="auto">
        <a:xfrm>
          <a:off x="7753350" y="6410325"/>
          <a:ext cx="142875" cy="238125"/>
        </a:xfrm>
        <a:prstGeom prst="upDownArrow">
          <a:avLst>
            <a:gd name="adj1" fmla="val 50000"/>
            <a:gd name="adj2" fmla="val 33333"/>
          </a:avLst>
        </a:prstGeom>
        <a:solidFill>
          <a:srgbClr val="FFFFFF"/>
        </a:solidFill>
        <a:ln w="9525">
          <a:solidFill>
            <a:srgbClr val="000000"/>
          </a:solidFill>
          <a:miter lim="800000"/>
          <a:headEnd/>
          <a:tailEnd/>
        </a:ln>
      </xdr:spPr>
    </xdr:sp>
    <xdr:clientData/>
  </xdr:twoCellAnchor>
  <xdr:twoCellAnchor>
    <xdr:from>
      <xdr:col>4</xdr:col>
      <xdr:colOff>76200</xdr:colOff>
      <xdr:row>38</xdr:row>
      <xdr:rowOff>38100</xdr:rowOff>
    </xdr:from>
    <xdr:to>
      <xdr:col>4</xdr:col>
      <xdr:colOff>981075</xdr:colOff>
      <xdr:row>38</xdr:row>
      <xdr:rowOff>152400</xdr:rowOff>
    </xdr:to>
    <xdr:sp macro="" textlink="">
      <xdr:nvSpPr>
        <xdr:cNvPr id="6126" name="AutoShape 2"/>
        <xdr:cNvSpPr>
          <a:spLocks noChangeArrowheads="1"/>
        </xdr:cNvSpPr>
      </xdr:nvSpPr>
      <xdr:spPr bwMode="auto">
        <a:xfrm>
          <a:off x="6372225" y="6734175"/>
          <a:ext cx="904875" cy="114300"/>
        </a:xfrm>
        <a:prstGeom prst="rightArrow">
          <a:avLst>
            <a:gd name="adj1" fmla="val 50000"/>
            <a:gd name="adj2" fmla="val 197917"/>
          </a:avLst>
        </a:prstGeom>
        <a:solidFill>
          <a:srgbClr val="FFFFFF"/>
        </a:solidFill>
        <a:ln w="9525">
          <a:solidFill>
            <a:srgbClr val="000000"/>
          </a:solidFill>
          <a:miter lim="800000"/>
          <a:headEnd/>
          <a:tailEnd/>
        </a:ln>
      </xdr:spPr>
    </xdr:sp>
    <xdr:clientData/>
  </xdr:twoCellAnchor>
  <xdr:twoCellAnchor>
    <xdr:from>
      <xdr:col>6</xdr:col>
      <xdr:colOff>85725</xdr:colOff>
      <xdr:row>38</xdr:row>
      <xdr:rowOff>47625</xdr:rowOff>
    </xdr:from>
    <xdr:to>
      <xdr:col>6</xdr:col>
      <xdr:colOff>1000125</xdr:colOff>
      <xdr:row>38</xdr:row>
      <xdr:rowOff>161925</xdr:rowOff>
    </xdr:to>
    <xdr:sp macro="" textlink="">
      <xdr:nvSpPr>
        <xdr:cNvPr id="6127" name="AutoShape 3"/>
        <xdr:cNvSpPr>
          <a:spLocks noChangeArrowheads="1"/>
        </xdr:cNvSpPr>
      </xdr:nvSpPr>
      <xdr:spPr bwMode="auto">
        <a:xfrm>
          <a:off x="8477250" y="6743700"/>
          <a:ext cx="914400" cy="114300"/>
        </a:xfrm>
        <a:prstGeom prst="rightArrow">
          <a:avLst>
            <a:gd name="adj1" fmla="val 50000"/>
            <a:gd name="adj2" fmla="val 200000"/>
          </a:avLst>
        </a:prstGeom>
        <a:solidFill>
          <a:srgbClr val="FFFFFF"/>
        </a:solidFill>
        <a:ln w="9525">
          <a:solidFill>
            <a:srgbClr val="000000"/>
          </a:solidFill>
          <a:miter lim="800000"/>
          <a:headEnd/>
          <a:tailEnd/>
        </a:ln>
      </xdr:spPr>
    </xdr:sp>
    <xdr:clientData/>
  </xdr:twoCellAnchor>
  <xdr:twoCellAnchor>
    <xdr:from>
      <xdr:col>3</xdr:col>
      <xdr:colOff>504825</xdr:colOff>
      <xdr:row>39</xdr:row>
      <xdr:rowOff>9525</xdr:rowOff>
    </xdr:from>
    <xdr:to>
      <xdr:col>3</xdr:col>
      <xdr:colOff>504825</xdr:colOff>
      <xdr:row>40</xdr:row>
      <xdr:rowOff>9525</xdr:rowOff>
    </xdr:to>
    <xdr:sp macro="" textlink="">
      <xdr:nvSpPr>
        <xdr:cNvPr id="6128" name="Line 4"/>
        <xdr:cNvSpPr>
          <a:spLocks noChangeShapeType="1"/>
        </xdr:cNvSpPr>
      </xdr:nvSpPr>
      <xdr:spPr bwMode="auto">
        <a:xfrm>
          <a:off x="5753100" y="6867525"/>
          <a:ext cx="0" cy="161925"/>
        </a:xfrm>
        <a:prstGeom prst="line">
          <a:avLst/>
        </a:prstGeom>
        <a:noFill/>
        <a:ln w="9525">
          <a:solidFill>
            <a:srgbClr val="000000"/>
          </a:solidFill>
          <a:round/>
          <a:headEnd/>
          <a:tailEnd/>
        </a:ln>
      </xdr:spPr>
    </xdr:sp>
    <xdr:clientData/>
  </xdr:twoCellAnchor>
  <xdr:twoCellAnchor>
    <xdr:from>
      <xdr:col>5</xdr:col>
      <xdr:colOff>476250</xdr:colOff>
      <xdr:row>39</xdr:row>
      <xdr:rowOff>0</xdr:rowOff>
    </xdr:from>
    <xdr:to>
      <xdr:col>5</xdr:col>
      <xdr:colOff>476250</xdr:colOff>
      <xdr:row>40</xdr:row>
      <xdr:rowOff>0</xdr:rowOff>
    </xdr:to>
    <xdr:sp macro="" textlink="">
      <xdr:nvSpPr>
        <xdr:cNvPr id="6129" name="Line 5"/>
        <xdr:cNvSpPr>
          <a:spLocks noChangeShapeType="1"/>
        </xdr:cNvSpPr>
      </xdr:nvSpPr>
      <xdr:spPr bwMode="auto">
        <a:xfrm>
          <a:off x="7820025" y="6858000"/>
          <a:ext cx="0" cy="161925"/>
        </a:xfrm>
        <a:prstGeom prst="line">
          <a:avLst/>
        </a:prstGeom>
        <a:noFill/>
        <a:ln w="9525">
          <a:solidFill>
            <a:srgbClr val="000000"/>
          </a:solidFill>
          <a:round/>
          <a:headEnd/>
          <a:tailEnd/>
        </a:ln>
      </xdr:spPr>
    </xdr:sp>
    <xdr:clientData/>
  </xdr:twoCellAnchor>
  <xdr:twoCellAnchor>
    <xdr:from>
      <xdr:col>7</xdr:col>
      <xdr:colOff>666750</xdr:colOff>
      <xdr:row>39</xdr:row>
      <xdr:rowOff>19050</xdr:rowOff>
    </xdr:from>
    <xdr:to>
      <xdr:col>7</xdr:col>
      <xdr:colOff>666750</xdr:colOff>
      <xdr:row>40</xdr:row>
      <xdr:rowOff>19050</xdr:rowOff>
    </xdr:to>
    <xdr:sp macro="" textlink="">
      <xdr:nvSpPr>
        <xdr:cNvPr id="6130" name="Line 6"/>
        <xdr:cNvSpPr>
          <a:spLocks noChangeShapeType="1"/>
        </xdr:cNvSpPr>
      </xdr:nvSpPr>
      <xdr:spPr bwMode="auto">
        <a:xfrm>
          <a:off x="10201275" y="6877050"/>
          <a:ext cx="0" cy="161925"/>
        </a:xfrm>
        <a:prstGeom prst="line">
          <a:avLst/>
        </a:prstGeom>
        <a:noFill/>
        <a:ln w="9525">
          <a:solidFill>
            <a:srgbClr val="000000"/>
          </a:solidFill>
          <a:round/>
          <a:headEnd/>
          <a:tailEnd/>
        </a:ln>
      </xdr:spPr>
    </xdr:sp>
    <xdr:clientData/>
  </xdr:twoCellAnchor>
  <xdr:twoCellAnchor>
    <xdr:from>
      <xdr:col>2</xdr:col>
      <xdr:colOff>1038225</xdr:colOff>
      <xdr:row>48</xdr:row>
      <xdr:rowOff>47625</xdr:rowOff>
    </xdr:from>
    <xdr:to>
      <xdr:col>7</xdr:col>
      <xdr:colOff>1323975</xdr:colOff>
      <xdr:row>50</xdr:row>
      <xdr:rowOff>0</xdr:rowOff>
    </xdr:to>
    <xdr:sp macro="" textlink="">
      <xdr:nvSpPr>
        <xdr:cNvPr id="6131" name="AutoShape 7"/>
        <xdr:cNvSpPr>
          <a:spLocks/>
        </xdr:cNvSpPr>
      </xdr:nvSpPr>
      <xdr:spPr bwMode="auto">
        <a:xfrm rot="-5400000">
          <a:off x="7891462" y="5710238"/>
          <a:ext cx="276225" cy="5581650"/>
        </a:xfrm>
        <a:prstGeom prst="leftBrace">
          <a:avLst>
            <a:gd name="adj1" fmla="val 168391"/>
            <a:gd name="adj2" fmla="val 50000"/>
          </a:avLst>
        </a:prstGeom>
        <a:noFill/>
        <a:ln w="9525">
          <a:solidFill>
            <a:srgbClr val="000000"/>
          </a:solidFill>
          <a:round/>
          <a:headEnd/>
          <a:tailEnd/>
        </a:ln>
      </xdr:spPr>
    </xdr:sp>
    <xdr:clientData/>
  </xdr:twoCellAnchor>
  <xdr:twoCellAnchor>
    <xdr:from>
      <xdr:col>4</xdr:col>
      <xdr:colOff>95250</xdr:colOff>
      <xdr:row>56</xdr:row>
      <xdr:rowOff>85725</xdr:rowOff>
    </xdr:from>
    <xdr:to>
      <xdr:col>4</xdr:col>
      <xdr:colOff>962025</xdr:colOff>
      <xdr:row>56</xdr:row>
      <xdr:rowOff>85725</xdr:rowOff>
    </xdr:to>
    <xdr:sp macro="" textlink="">
      <xdr:nvSpPr>
        <xdr:cNvPr id="6132" name="Line 8"/>
        <xdr:cNvSpPr>
          <a:spLocks noChangeShapeType="1"/>
        </xdr:cNvSpPr>
      </xdr:nvSpPr>
      <xdr:spPr bwMode="auto">
        <a:xfrm>
          <a:off x="6391275" y="9715500"/>
          <a:ext cx="866775" cy="0"/>
        </a:xfrm>
        <a:prstGeom prst="line">
          <a:avLst/>
        </a:prstGeom>
        <a:noFill/>
        <a:ln w="9525">
          <a:solidFill>
            <a:srgbClr val="000000"/>
          </a:solidFill>
          <a:round/>
          <a:headEnd type="triangle" w="med" len="med"/>
          <a:tailEnd type="triangle" w="med" len="med"/>
        </a:ln>
      </xdr:spPr>
    </xdr:sp>
    <xdr:clientData/>
  </xdr:twoCellAnchor>
  <xdr:twoCellAnchor>
    <xdr:from>
      <xdr:col>4</xdr:col>
      <xdr:colOff>95250</xdr:colOff>
      <xdr:row>58</xdr:row>
      <xdr:rowOff>85725</xdr:rowOff>
    </xdr:from>
    <xdr:to>
      <xdr:col>4</xdr:col>
      <xdr:colOff>962025</xdr:colOff>
      <xdr:row>58</xdr:row>
      <xdr:rowOff>85725</xdr:rowOff>
    </xdr:to>
    <xdr:sp macro="" textlink="">
      <xdr:nvSpPr>
        <xdr:cNvPr id="6133" name="Line 9"/>
        <xdr:cNvSpPr>
          <a:spLocks noChangeShapeType="1"/>
        </xdr:cNvSpPr>
      </xdr:nvSpPr>
      <xdr:spPr bwMode="auto">
        <a:xfrm>
          <a:off x="6391275" y="10039350"/>
          <a:ext cx="866775" cy="0"/>
        </a:xfrm>
        <a:prstGeom prst="line">
          <a:avLst/>
        </a:prstGeom>
        <a:noFill/>
        <a:ln w="9525">
          <a:solidFill>
            <a:srgbClr val="000000"/>
          </a:solidFill>
          <a:round/>
          <a:headEnd type="triangle" w="med" len="med"/>
          <a:tailEnd type="triangle" w="med" len="med"/>
        </a:ln>
      </xdr:spPr>
    </xdr:sp>
    <xdr:clientData/>
  </xdr:twoCellAnchor>
  <xdr:twoCellAnchor>
    <xdr:from>
      <xdr:col>4</xdr:col>
      <xdr:colOff>95250</xdr:colOff>
      <xdr:row>60</xdr:row>
      <xdr:rowOff>85725</xdr:rowOff>
    </xdr:from>
    <xdr:to>
      <xdr:col>4</xdr:col>
      <xdr:colOff>962025</xdr:colOff>
      <xdr:row>60</xdr:row>
      <xdr:rowOff>85725</xdr:rowOff>
    </xdr:to>
    <xdr:sp macro="" textlink="">
      <xdr:nvSpPr>
        <xdr:cNvPr id="6134" name="Line 10"/>
        <xdr:cNvSpPr>
          <a:spLocks noChangeShapeType="1"/>
        </xdr:cNvSpPr>
      </xdr:nvSpPr>
      <xdr:spPr bwMode="auto">
        <a:xfrm>
          <a:off x="6391275" y="10363200"/>
          <a:ext cx="866775" cy="0"/>
        </a:xfrm>
        <a:prstGeom prst="line">
          <a:avLst/>
        </a:prstGeom>
        <a:noFill/>
        <a:ln w="9525">
          <a:solidFill>
            <a:srgbClr val="000000"/>
          </a:solidFill>
          <a:round/>
          <a:headEnd type="triangle" w="med" len="med"/>
          <a:tailEnd type="triangle" w="med" len="med"/>
        </a:ln>
      </xdr:spPr>
    </xdr:sp>
    <xdr:clientData/>
  </xdr:twoCellAnchor>
  <xdr:twoCellAnchor>
    <xdr:from>
      <xdr:col>4</xdr:col>
      <xdr:colOff>95250</xdr:colOff>
      <xdr:row>62</xdr:row>
      <xdr:rowOff>85725</xdr:rowOff>
    </xdr:from>
    <xdr:to>
      <xdr:col>4</xdr:col>
      <xdr:colOff>962025</xdr:colOff>
      <xdr:row>62</xdr:row>
      <xdr:rowOff>85725</xdr:rowOff>
    </xdr:to>
    <xdr:sp macro="" textlink="">
      <xdr:nvSpPr>
        <xdr:cNvPr id="6135" name="Line 11"/>
        <xdr:cNvSpPr>
          <a:spLocks noChangeShapeType="1"/>
        </xdr:cNvSpPr>
      </xdr:nvSpPr>
      <xdr:spPr bwMode="auto">
        <a:xfrm>
          <a:off x="6391275" y="10687050"/>
          <a:ext cx="866775" cy="0"/>
        </a:xfrm>
        <a:prstGeom prst="line">
          <a:avLst/>
        </a:prstGeom>
        <a:noFill/>
        <a:ln w="9525">
          <a:solidFill>
            <a:srgbClr val="000000"/>
          </a:solidFill>
          <a:round/>
          <a:headEnd type="triangle" w="med" len="med"/>
          <a:tailEnd type="triangle" w="med" len="med"/>
        </a:ln>
      </xdr:spPr>
    </xdr:sp>
    <xdr:clientData/>
  </xdr:twoCellAnchor>
  <xdr:twoCellAnchor editAs="oneCell">
    <xdr:from>
      <xdr:col>3</xdr:col>
      <xdr:colOff>1000125</xdr:colOff>
      <xdr:row>68</xdr:row>
      <xdr:rowOff>38100</xdr:rowOff>
    </xdr:from>
    <xdr:to>
      <xdr:col>6</xdr:col>
      <xdr:colOff>447675</xdr:colOff>
      <xdr:row>81</xdr:row>
      <xdr:rowOff>285750</xdr:rowOff>
    </xdr:to>
    <xdr:pic>
      <xdr:nvPicPr>
        <xdr:cNvPr id="6136" name="Picture 12" descr="DESTEMP&amp;HRM-avonduitvaart&amp;werktijden-IPW-140409">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6248400" y="11610975"/>
          <a:ext cx="2590800" cy="2352675"/>
        </a:xfrm>
        <a:prstGeom prst="rect">
          <a:avLst/>
        </a:prstGeom>
        <a:noFill/>
        <a:ln w="9525">
          <a:noFill/>
          <a:miter lim="800000"/>
          <a:headEnd/>
          <a:tailEnd/>
        </a:ln>
      </xdr:spPr>
    </xdr:pic>
    <xdr:clientData/>
  </xdr:twoCellAnchor>
  <xdr:twoCellAnchor>
    <xdr:from>
      <xdr:col>4</xdr:col>
      <xdr:colOff>28575</xdr:colOff>
      <xdr:row>91</xdr:row>
      <xdr:rowOff>85725</xdr:rowOff>
    </xdr:from>
    <xdr:to>
      <xdr:col>4</xdr:col>
      <xdr:colOff>1028700</xdr:colOff>
      <xdr:row>94</xdr:row>
      <xdr:rowOff>19050</xdr:rowOff>
    </xdr:to>
    <xdr:sp macro="" textlink="">
      <xdr:nvSpPr>
        <xdr:cNvPr id="6137" name="Oval 13"/>
        <xdr:cNvSpPr>
          <a:spLocks noChangeArrowheads="1"/>
        </xdr:cNvSpPr>
      </xdr:nvSpPr>
      <xdr:spPr bwMode="auto">
        <a:xfrm>
          <a:off x="6324600" y="15573375"/>
          <a:ext cx="1000125" cy="581025"/>
        </a:xfrm>
        <a:prstGeom prst="ellipse">
          <a:avLst/>
        </a:prstGeom>
        <a:noFill/>
        <a:ln w="9525">
          <a:solidFill>
            <a:srgbClr val="000000"/>
          </a:solidFill>
          <a:round/>
          <a:headEnd/>
          <a:tailEnd/>
        </a:ln>
      </xdr:spPr>
    </xdr:sp>
    <xdr:clientData/>
  </xdr:twoCellAnchor>
  <xdr:twoCellAnchor>
    <xdr:from>
      <xdr:col>3</xdr:col>
      <xdr:colOff>762000</xdr:colOff>
      <xdr:row>89</xdr:row>
      <xdr:rowOff>76200</xdr:rowOff>
    </xdr:from>
    <xdr:to>
      <xdr:col>5</xdr:col>
      <xdr:colOff>371475</xdr:colOff>
      <xdr:row>95</xdr:row>
      <xdr:rowOff>19050</xdr:rowOff>
    </xdr:to>
    <xdr:sp macro="" textlink="">
      <xdr:nvSpPr>
        <xdr:cNvPr id="6138" name="Oval 14"/>
        <xdr:cNvSpPr>
          <a:spLocks noChangeArrowheads="1"/>
        </xdr:cNvSpPr>
      </xdr:nvSpPr>
      <xdr:spPr bwMode="auto">
        <a:xfrm>
          <a:off x="6010275" y="15240000"/>
          <a:ext cx="1704975" cy="1076325"/>
        </a:xfrm>
        <a:prstGeom prst="ellipse">
          <a:avLst/>
        </a:prstGeom>
        <a:noFill/>
        <a:ln w="9525">
          <a:solidFill>
            <a:srgbClr val="000000"/>
          </a:solidFill>
          <a:round/>
          <a:headEnd/>
          <a:tailEnd/>
        </a:ln>
      </xdr:spPr>
    </xdr:sp>
    <xdr:clientData/>
  </xdr:twoCellAnchor>
  <xdr:twoCellAnchor>
    <xdr:from>
      <xdr:col>3</xdr:col>
      <xdr:colOff>104775</xdr:colOff>
      <xdr:row>100</xdr:row>
      <xdr:rowOff>19050</xdr:rowOff>
    </xdr:from>
    <xdr:to>
      <xdr:col>7</xdr:col>
      <xdr:colOff>1000125</xdr:colOff>
      <xdr:row>117</xdr:row>
      <xdr:rowOff>38100</xdr:rowOff>
    </xdr:to>
    <xdr:graphicFrame macro="">
      <xdr:nvGraphicFramePr>
        <xdr:cNvPr id="6139" name="Chart 2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9525</xdr:colOff>
      <xdr:row>121</xdr:row>
      <xdr:rowOff>28575</xdr:rowOff>
    </xdr:from>
    <xdr:to>
      <xdr:col>5</xdr:col>
      <xdr:colOff>514350</xdr:colOff>
      <xdr:row>127</xdr:row>
      <xdr:rowOff>85725</xdr:rowOff>
    </xdr:to>
    <xdr:sp macro="" textlink="">
      <xdr:nvSpPr>
        <xdr:cNvPr id="6140" name="Line 26"/>
        <xdr:cNvSpPr>
          <a:spLocks noChangeShapeType="1"/>
        </xdr:cNvSpPr>
      </xdr:nvSpPr>
      <xdr:spPr bwMode="auto">
        <a:xfrm flipV="1">
          <a:off x="6305550" y="20793075"/>
          <a:ext cx="1552575" cy="1028700"/>
        </a:xfrm>
        <a:prstGeom prst="line">
          <a:avLst/>
        </a:prstGeom>
        <a:noFill/>
        <a:ln w="9525">
          <a:solidFill>
            <a:srgbClr val="000000"/>
          </a:solidFill>
          <a:prstDash val="dash"/>
          <a:round/>
          <a:headEnd/>
          <a:tailEnd/>
        </a:ln>
      </xdr:spPr>
    </xdr:sp>
    <xdr:clientData/>
  </xdr:twoCellAnchor>
  <xdr:twoCellAnchor>
    <xdr:from>
      <xdr:col>5</xdr:col>
      <xdr:colOff>504825</xdr:colOff>
      <xdr:row>121</xdr:row>
      <xdr:rowOff>28575</xdr:rowOff>
    </xdr:from>
    <xdr:to>
      <xdr:col>6</xdr:col>
      <xdr:colOff>1123950</xdr:colOff>
      <xdr:row>127</xdr:row>
      <xdr:rowOff>104775</xdr:rowOff>
    </xdr:to>
    <xdr:sp macro="" textlink="">
      <xdr:nvSpPr>
        <xdr:cNvPr id="6141" name="Line 27"/>
        <xdr:cNvSpPr>
          <a:spLocks noChangeShapeType="1"/>
        </xdr:cNvSpPr>
      </xdr:nvSpPr>
      <xdr:spPr bwMode="auto">
        <a:xfrm>
          <a:off x="7848600" y="20793075"/>
          <a:ext cx="1666875" cy="1047750"/>
        </a:xfrm>
        <a:prstGeom prst="line">
          <a:avLst/>
        </a:prstGeom>
        <a:noFill/>
        <a:ln w="9525">
          <a:solidFill>
            <a:srgbClr val="000000"/>
          </a:solidFill>
          <a:prstDash val="dash"/>
          <a:round/>
          <a:headEnd/>
          <a:tailEnd/>
        </a:ln>
      </xdr:spPr>
    </xdr:sp>
    <xdr:clientData/>
  </xdr:twoCellAnchor>
  <xdr:twoCellAnchor>
    <xdr:from>
      <xdr:col>4</xdr:col>
      <xdr:colOff>19050</xdr:colOff>
      <xdr:row>123</xdr:row>
      <xdr:rowOff>76200</xdr:rowOff>
    </xdr:from>
    <xdr:to>
      <xdr:col>6</xdr:col>
      <xdr:colOff>1123950</xdr:colOff>
      <xdr:row>123</xdr:row>
      <xdr:rowOff>76200</xdr:rowOff>
    </xdr:to>
    <xdr:sp macro="" textlink="">
      <xdr:nvSpPr>
        <xdr:cNvPr id="6142" name="Line 31"/>
        <xdr:cNvSpPr>
          <a:spLocks noChangeShapeType="1"/>
        </xdr:cNvSpPr>
      </xdr:nvSpPr>
      <xdr:spPr bwMode="auto">
        <a:xfrm flipV="1">
          <a:off x="6315075" y="21164550"/>
          <a:ext cx="3200400" cy="0"/>
        </a:xfrm>
        <a:prstGeom prst="line">
          <a:avLst/>
        </a:prstGeom>
        <a:noFill/>
        <a:ln w="9525">
          <a:solidFill>
            <a:srgbClr val="000000"/>
          </a:solidFill>
          <a:prstDash val="dash"/>
          <a:round/>
          <a:headEnd/>
          <a:tailEnd/>
        </a:ln>
      </xdr:spPr>
    </xdr:sp>
    <xdr:clientData/>
  </xdr:twoCellAnchor>
  <xdr:twoCellAnchor>
    <xdr:from>
      <xdr:col>4</xdr:col>
      <xdr:colOff>19050</xdr:colOff>
      <xdr:row>123</xdr:row>
      <xdr:rowOff>104775</xdr:rowOff>
    </xdr:from>
    <xdr:to>
      <xdr:col>5</xdr:col>
      <xdr:colOff>523875</xdr:colOff>
      <xdr:row>129</xdr:row>
      <xdr:rowOff>142875</xdr:rowOff>
    </xdr:to>
    <xdr:sp macro="" textlink="">
      <xdr:nvSpPr>
        <xdr:cNvPr id="6143" name="Line 32"/>
        <xdr:cNvSpPr>
          <a:spLocks noChangeShapeType="1"/>
        </xdr:cNvSpPr>
      </xdr:nvSpPr>
      <xdr:spPr bwMode="auto">
        <a:xfrm>
          <a:off x="6315075" y="21193125"/>
          <a:ext cx="1552575" cy="1009650"/>
        </a:xfrm>
        <a:prstGeom prst="line">
          <a:avLst/>
        </a:prstGeom>
        <a:noFill/>
        <a:ln w="9525">
          <a:solidFill>
            <a:srgbClr val="000000"/>
          </a:solidFill>
          <a:prstDash val="dash"/>
          <a:round/>
          <a:headEnd/>
          <a:tailEnd/>
        </a:ln>
      </xdr:spPr>
    </xdr:sp>
    <xdr:clientData/>
  </xdr:twoCellAnchor>
  <xdr:twoCellAnchor>
    <xdr:from>
      <xdr:col>5</xdr:col>
      <xdr:colOff>523875</xdr:colOff>
      <xdr:row>123</xdr:row>
      <xdr:rowOff>104775</xdr:rowOff>
    </xdr:from>
    <xdr:to>
      <xdr:col>6</xdr:col>
      <xdr:colOff>1123950</xdr:colOff>
      <xdr:row>130</xdr:row>
      <xdr:rowOff>0</xdr:rowOff>
    </xdr:to>
    <xdr:sp macro="" textlink="">
      <xdr:nvSpPr>
        <xdr:cNvPr id="119808" name="Line 33"/>
        <xdr:cNvSpPr>
          <a:spLocks noChangeShapeType="1"/>
        </xdr:cNvSpPr>
      </xdr:nvSpPr>
      <xdr:spPr bwMode="auto">
        <a:xfrm flipV="1">
          <a:off x="7867650" y="21193125"/>
          <a:ext cx="1647825" cy="1028700"/>
        </a:xfrm>
        <a:prstGeom prst="line">
          <a:avLst/>
        </a:prstGeom>
        <a:noFill/>
        <a:ln w="9525">
          <a:solidFill>
            <a:srgbClr val="000000"/>
          </a:solidFill>
          <a:prstDash val="dash"/>
          <a:round/>
          <a:headEnd/>
          <a:tailEnd/>
        </a:ln>
      </xdr:spPr>
    </xdr:sp>
    <xdr:clientData/>
  </xdr:twoCellAnchor>
  <xdr:twoCellAnchor>
    <xdr:from>
      <xdr:col>4</xdr:col>
      <xdr:colOff>9525</xdr:colOff>
      <xdr:row>123</xdr:row>
      <xdr:rowOff>85725</xdr:rowOff>
    </xdr:from>
    <xdr:to>
      <xdr:col>5</xdr:col>
      <xdr:colOff>57150</xdr:colOff>
      <xdr:row>124</xdr:row>
      <xdr:rowOff>152400</xdr:rowOff>
    </xdr:to>
    <xdr:sp macro="" textlink="">
      <xdr:nvSpPr>
        <xdr:cNvPr id="119809" name="Line 35"/>
        <xdr:cNvSpPr>
          <a:spLocks noChangeShapeType="1"/>
        </xdr:cNvSpPr>
      </xdr:nvSpPr>
      <xdr:spPr bwMode="auto">
        <a:xfrm>
          <a:off x="6305550" y="21174075"/>
          <a:ext cx="1095375" cy="228600"/>
        </a:xfrm>
        <a:prstGeom prst="line">
          <a:avLst/>
        </a:prstGeom>
        <a:noFill/>
        <a:ln w="9525">
          <a:solidFill>
            <a:srgbClr val="000000"/>
          </a:solidFill>
          <a:prstDash val="dash"/>
          <a:round/>
          <a:headEnd/>
          <a:tailEnd/>
        </a:ln>
      </xdr:spPr>
    </xdr:sp>
    <xdr:clientData/>
  </xdr:twoCellAnchor>
  <xdr:twoCellAnchor>
    <xdr:from>
      <xdr:col>5</xdr:col>
      <xdr:colOff>876300</xdr:colOff>
      <xdr:row>126</xdr:row>
      <xdr:rowOff>19050</xdr:rowOff>
    </xdr:from>
    <xdr:to>
      <xdr:col>6</xdr:col>
      <xdr:colOff>1123950</xdr:colOff>
      <xdr:row>127</xdr:row>
      <xdr:rowOff>104775</xdr:rowOff>
    </xdr:to>
    <xdr:sp macro="" textlink="">
      <xdr:nvSpPr>
        <xdr:cNvPr id="119810" name="Line 36"/>
        <xdr:cNvSpPr>
          <a:spLocks noChangeShapeType="1"/>
        </xdr:cNvSpPr>
      </xdr:nvSpPr>
      <xdr:spPr bwMode="auto">
        <a:xfrm flipH="1" flipV="1">
          <a:off x="8220075" y="21593175"/>
          <a:ext cx="1295400" cy="247650"/>
        </a:xfrm>
        <a:prstGeom prst="line">
          <a:avLst/>
        </a:prstGeom>
        <a:noFill/>
        <a:ln w="9525">
          <a:solidFill>
            <a:srgbClr val="000000"/>
          </a:solidFill>
          <a:prstDash val="dash"/>
          <a:round/>
          <a:headEnd/>
          <a:tailEnd/>
        </a:ln>
      </xdr:spPr>
    </xdr:sp>
    <xdr:clientData/>
  </xdr:twoCellAnchor>
  <xdr:twoCellAnchor>
    <xdr:from>
      <xdr:col>4</xdr:col>
      <xdr:colOff>9525</xdr:colOff>
      <xdr:row>126</xdr:row>
      <xdr:rowOff>19050</xdr:rowOff>
    </xdr:from>
    <xdr:to>
      <xdr:col>5</xdr:col>
      <xdr:colOff>133350</xdr:colOff>
      <xdr:row>127</xdr:row>
      <xdr:rowOff>95250</xdr:rowOff>
    </xdr:to>
    <xdr:sp macro="" textlink="">
      <xdr:nvSpPr>
        <xdr:cNvPr id="119811" name="Line 37"/>
        <xdr:cNvSpPr>
          <a:spLocks noChangeShapeType="1"/>
        </xdr:cNvSpPr>
      </xdr:nvSpPr>
      <xdr:spPr bwMode="auto">
        <a:xfrm flipV="1">
          <a:off x="6305550" y="21593175"/>
          <a:ext cx="1171575" cy="238125"/>
        </a:xfrm>
        <a:prstGeom prst="line">
          <a:avLst/>
        </a:prstGeom>
        <a:noFill/>
        <a:ln w="9525">
          <a:solidFill>
            <a:srgbClr val="000000"/>
          </a:solidFill>
          <a:prstDash val="dash"/>
          <a:round/>
          <a:headEnd/>
          <a:tailEnd/>
        </a:ln>
      </xdr:spPr>
    </xdr:sp>
    <xdr:clientData/>
  </xdr:twoCellAnchor>
  <xdr:twoCellAnchor>
    <xdr:from>
      <xdr:col>5</xdr:col>
      <xdr:colOff>990600</xdr:colOff>
      <xdr:row>123</xdr:row>
      <xdr:rowOff>85725</xdr:rowOff>
    </xdr:from>
    <xdr:to>
      <xdr:col>6</xdr:col>
      <xdr:colOff>1114425</xdr:colOff>
      <xdr:row>125</xdr:row>
      <xdr:rowOff>0</xdr:rowOff>
    </xdr:to>
    <xdr:sp macro="" textlink="">
      <xdr:nvSpPr>
        <xdr:cNvPr id="119812" name="Line 38"/>
        <xdr:cNvSpPr>
          <a:spLocks noChangeShapeType="1"/>
        </xdr:cNvSpPr>
      </xdr:nvSpPr>
      <xdr:spPr bwMode="auto">
        <a:xfrm flipH="1">
          <a:off x="8334375" y="21174075"/>
          <a:ext cx="1171575" cy="238125"/>
        </a:xfrm>
        <a:prstGeom prst="line">
          <a:avLst/>
        </a:prstGeom>
        <a:noFill/>
        <a:ln w="9525">
          <a:solidFill>
            <a:srgbClr val="000000"/>
          </a:solidFill>
          <a:prstDash val="dash"/>
          <a:round/>
          <a:headEnd/>
          <a:tailEnd/>
        </a:ln>
      </xdr:spPr>
    </xdr:sp>
    <xdr:clientData/>
  </xdr:twoCellAnchor>
  <xdr:twoCellAnchor>
    <xdr:from>
      <xdr:col>4</xdr:col>
      <xdr:colOff>19050</xdr:colOff>
      <xdr:row>127</xdr:row>
      <xdr:rowOff>104775</xdr:rowOff>
    </xdr:from>
    <xdr:to>
      <xdr:col>6</xdr:col>
      <xdr:colOff>1123950</xdr:colOff>
      <xdr:row>127</xdr:row>
      <xdr:rowOff>104775</xdr:rowOff>
    </xdr:to>
    <xdr:sp macro="" textlink="">
      <xdr:nvSpPr>
        <xdr:cNvPr id="119813" name="Line 39"/>
        <xdr:cNvSpPr>
          <a:spLocks noChangeShapeType="1"/>
        </xdr:cNvSpPr>
      </xdr:nvSpPr>
      <xdr:spPr bwMode="auto">
        <a:xfrm flipV="1">
          <a:off x="6315075" y="21840825"/>
          <a:ext cx="3200400" cy="0"/>
        </a:xfrm>
        <a:prstGeom prst="line">
          <a:avLst/>
        </a:prstGeom>
        <a:noFill/>
        <a:ln w="9525">
          <a:solidFill>
            <a:srgbClr val="000000"/>
          </a:solidFill>
          <a:prstDash val="dash"/>
          <a:round/>
          <a:headEnd/>
          <a:tailEnd/>
        </a:ln>
      </xdr:spPr>
    </xdr:sp>
    <xdr:clientData/>
  </xdr:twoCellAnchor>
  <xdr:twoCellAnchor editAs="oneCell">
    <xdr:from>
      <xdr:col>4</xdr:col>
      <xdr:colOff>571500</xdr:colOff>
      <xdr:row>21</xdr:row>
      <xdr:rowOff>92681</xdr:rowOff>
    </xdr:from>
    <xdr:to>
      <xdr:col>5</xdr:col>
      <xdr:colOff>800100</xdr:colOff>
      <xdr:row>32</xdr:row>
      <xdr:rowOff>59718</xdr:rowOff>
    </xdr:to>
    <xdr:pic>
      <xdr:nvPicPr>
        <xdr:cNvPr id="119814" name="Picture 40" descr="HRM-voor-de-lijnmanager-boekfront-2010">
          <a:hlinkClick xmlns:r="http://schemas.openxmlformats.org/officeDocument/2006/relationships" r:id="rId4"/>
        </xdr:cNvPr>
        <xdr:cNvPicPr>
          <a:picLocks noChangeAspect="1" noChangeArrowheads="1"/>
        </xdr:cNvPicPr>
      </xdr:nvPicPr>
      <xdr:blipFill>
        <a:blip xmlns:r="http://schemas.openxmlformats.org/officeDocument/2006/relationships" r:embed="rId5" cstate="print"/>
        <a:stretch>
          <a:fillRect/>
        </a:stretch>
      </xdr:blipFill>
      <xdr:spPr bwMode="auto">
        <a:xfrm>
          <a:off x="6867525" y="3874106"/>
          <a:ext cx="1276350" cy="1748212"/>
        </a:xfrm>
        <a:prstGeom prst="rect">
          <a:avLst/>
        </a:prstGeom>
        <a:noFill/>
        <a:ln w="9525">
          <a:noFill/>
          <a:miter lim="800000"/>
          <a:headEnd/>
          <a:tailEnd/>
        </a:ln>
      </xdr:spPr>
    </xdr:pic>
    <xdr:clientData/>
  </xdr:twoCellAnchor>
  <xdr:twoCellAnchor>
    <xdr:from>
      <xdr:col>5</xdr:col>
      <xdr:colOff>142875</xdr:colOff>
      <xdr:row>177</xdr:row>
      <xdr:rowOff>19050</xdr:rowOff>
    </xdr:from>
    <xdr:to>
      <xdr:col>6</xdr:col>
      <xdr:colOff>28575</xdr:colOff>
      <xdr:row>182</xdr:row>
      <xdr:rowOff>95250</xdr:rowOff>
    </xdr:to>
    <xdr:sp macro="" textlink="">
      <xdr:nvSpPr>
        <xdr:cNvPr id="5161" name="WordArt 41">
          <a:hlinkClick xmlns:r="http://schemas.openxmlformats.org/officeDocument/2006/relationships" r:id="rId6"/>
        </xdr:cNvPr>
        <xdr:cNvSpPr>
          <a:spLocks noChangeArrowheads="1" noChangeShapeType="1" noTextEdit="1"/>
        </xdr:cNvSpPr>
      </xdr:nvSpPr>
      <xdr:spPr bwMode="auto">
        <a:xfrm>
          <a:off x="7486650" y="30861000"/>
          <a:ext cx="933450" cy="885825"/>
        </a:xfrm>
        <a:prstGeom prst="rect">
          <a:avLst/>
        </a:prstGeom>
      </xdr:spPr>
      <xdr:txBody>
        <a:bodyPr wrap="none" fromWordArt="1">
          <a:prstTxWarp prst="textPlain">
            <a:avLst>
              <a:gd name="adj" fmla="val 50000"/>
            </a:avLst>
          </a:prstTxWarp>
        </a:bodyPr>
        <a:lstStyle/>
        <a:p>
          <a:pPr algn="ctr" rtl="0"/>
          <a:r>
            <a:rPr lang="nl-NL" sz="3600" kern="10" spc="0">
              <a:ln w="12700">
                <a:solidFill>
                  <a:srgbClr val="EAEAEA"/>
                </a:solidFill>
                <a:round/>
                <a:headEnd/>
                <a:tailEnd/>
              </a:ln>
              <a:gradFill rotWithShape="0">
                <a:gsLst>
                  <a:gs pos="0">
                    <a:srgbClr val="A603AB"/>
                  </a:gs>
                  <a:gs pos="12000">
                    <a:srgbClr val="E81766"/>
                  </a:gs>
                  <a:gs pos="27000">
                    <a:srgbClr val="EE3F17"/>
                  </a:gs>
                  <a:gs pos="48000">
                    <a:srgbClr val="FFFF00"/>
                  </a:gs>
                  <a:gs pos="64999">
                    <a:srgbClr val="1A8D48"/>
                  </a:gs>
                  <a:gs pos="78999">
                    <a:srgbClr val="0819FB"/>
                  </a:gs>
                  <a:gs pos="100000">
                    <a:srgbClr val="A603AB"/>
                  </a:gs>
                </a:gsLst>
                <a:lin ang="0" scaled="1"/>
              </a:gradFill>
              <a:effectLst>
                <a:outerShdw dist="35921" dir="2700000" sy="50000" kx="2115830" algn="bl" rotWithShape="0">
                  <a:srgbClr val="C0C0C0">
                    <a:alpha val="80000"/>
                  </a:srgbClr>
                </a:outerShdw>
              </a:effectLst>
              <a:latin typeface="Arial Black"/>
            </a:rPr>
            <a:t>A?</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47625</xdr:colOff>
      <xdr:row>79</xdr:row>
      <xdr:rowOff>19050</xdr:rowOff>
    </xdr:from>
    <xdr:to>
      <xdr:col>5</xdr:col>
      <xdr:colOff>1009650</xdr:colOff>
      <xdr:row>82</xdr:row>
      <xdr:rowOff>28575</xdr:rowOff>
    </xdr:to>
    <xdr:sp macro="" textlink="">
      <xdr:nvSpPr>
        <xdr:cNvPr id="7170" name="WordArt 2" descr="Papieren tas">
          <a:hlinkClick xmlns:r="http://schemas.openxmlformats.org/officeDocument/2006/relationships" r:id="rId1"/>
        </xdr:cNvPr>
        <xdr:cNvSpPr>
          <a:spLocks noChangeArrowheads="1" noChangeShapeType="1" noTextEdit="1"/>
        </xdr:cNvSpPr>
      </xdr:nvSpPr>
      <xdr:spPr bwMode="auto">
        <a:xfrm>
          <a:off x="6343650" y="15963900"/>
          <a:ext cx="2009775" cy="495300"/>
        </a:xfrm>
        <a:prstGeom prst="rect">
          <a:avLst/>
        </a:prstGeom>
      </xdr:spPr>
      <xdr:txBody>
        <a:bodyPr wrap="none" fromWordArt="1">
          <a:prstTxWarp prst="textPlain">
            <a:avLst>
              <a:gd name="adj" fmla="val 50000"/>
            </a:avLst>
          </a:prstTxWarp>
        </a:bodyPr>
        <a:lstStyle/>
        <a:p>
          <a:pPr algn="ctr" rtl="0"/>
          <a:r>
            <a:rPr lang="nl-NL" sz="3600" kern="10" spc="0">
              <a:ln w="9525">
                <a:solidFill>
                  <a:srgbClr val="008000"/>
                </a:solidFill>
                <a:round/>
                <a:headEnd/>
                <a:tailEnd/>
              </a:ln>
              <a:blipFill dpi="0" rotWithShape="0">
                <a:blip xmlns:r="http://schemas.openxmlformats.org/officeDocument/2006/relationships" r:embed="rId2"/>
                <a:srcRect/>
                <a:tile tx="0" ty="0" sx="100000" sy="100000" flip="none" algn="tl"/>
              </a:blipFill>
              <a:effectLst>
                <a:outerShdw dist="563972" dir="14049741" sx="125000" sy="125000" algn="tl" rotWithShape="0">
                  <a:srgbClr val="C7DFD3">
                    <a:alpha val="80000"/>
                  </a:srgbClr>
                </a:outerShdw>
              </a:effectLst>
              <a:latin typeface="Times New Roman"/>
              <a:cs typeface="Times New Roman"/>
            </a:rPr>
            <a:t>Creativiteit</a:t>
          </a:r>
        </a:p>
      </xdr:txBody>
    </xdr:sp>
    <xdr:clientData/>
  </xdr:twoCellAnchor>
  <xdr:twoCellAnchor editAs="oneCell">
    <xdr:from>
      <xdr:col>3</xdr:col>
      <xdr:colOff>971550</xdr:colOff>
      <xdr:row>58</xdr:row>
      <xdr:rowOff>209550</xdr:rowOff>
    </xdr:from>
    <xdr:to>
      <xdr:col>5</xdr:col>
      <xdr:colOff>939661</xdr:colOff>
      <xdr:row>66</xdr:row>
      <xdr:rowOff>128058</xdr:rowOff>
    </xdr:to>
    <xdr:pic>
      <xdr:nvPicPr>
        <xdr:cNvPr id="7755" name="Picture 4" descr="brilliant-noteasy">
          <a:hlinkClick xmlns:r="http://schemas.openxmlformats.org/officeDocument/2006/relationships" r:id="rId3"/>
        </xdr:cNvPr>
        <xdr:cNvPicPr>
          <a:picLocks noChangeAspect="1" noChangeArrowheads="1"/>
        </xdr:cNvPicPr>
      </xdr:nvPicPr>
      <xdr:blipFill>
        <a:blip xmlns:r="http://schemas.openxmlformats.org/officeDocument/2006/relationships" r:embed="rId4" cstate="print"/>
        <a:srcRect/>
        <a:stretch>
          <a:fillRect/>
        </a:stretch>
      </xdr:blipFill>
      <xdr:spPr bwMode="auto">
        <a:xfrm>
          <a:off x="6219825" y="11515725"/>
          <a:ext cx="2209800" cy="1457325"/>
        </a:xfrm>
        <a:prstGeom prst="rect">
          <a:avLst/>
        </a:prstGeom>
        <a:noFill/>
        <a:ln w="9525">
          <a:noFill/>
          <a:miter lim="800000"/>
          <a:headEnd/>
          <a:tailEnd/>
        </a:ln>
      </xdr:spPr>
    </xdr:pic>
    <xdr:clientData/>
  </xdr:twoCellAnchor>
  <xdr:twoCellAnchor editAs="oneCell">
    <xdr:from>
      <xdr:col>4</xdr:col>
      <xdr:colOff>257175</xdr:colOff>
      <xdr:row>98</xdr:row>
      <xdr:rowOff>76200</xdr:rowOff>
    </xdr:from>
    <xdr:to>
      <xdr:col>5</xdr:col>
      <xdr:colOff>561975</xdr:colOff>
      <xdr:row>103</xdr:row>
      <xdr:rowOff>152400</xdr:rowOff>
    </xdr:to>
    <xdr:pic>
      <xdr:nvPicPr>
        <xdr:cNvPr id="7756" name="Picture 6" descr="QMARK">
          <a:hlinkClick xmlns:r="http://schemas.openxmlformats.org/officeDocument/2006/relationships" r:id="rId5"/>
        </xdr:cNvPr>
        <xdr:cNvPicPr>
          <a:picLocks noChangeAspect="1" noChangeArrowheads="1"/>
        </xdr:cNvPicPr>
      </xdr:nvPicPr>
      <xdr:blipFill>
        <a:blip xmlns:r="http://schemas.openxmlformats.org/officeDocument/2006/relationships" r:embed="rId6" cstate="print"/>
        <a:srcRect/>
        <a:stretch>
          <a:fillRect/>
        </a:stretch>
      </xdr:blipFill>
      <xdr:spPr bwMode="auto">
        <a:xfrm>
          <a:off x="6553200" y="19726275"/>
          <a:ext cx="1362075" cy="885825"/>
        </a:xfrm>
        <a:prstGeom prst="rect">
          <a:avLst/>
        </a:prstGeom>
        <a:noFill/>
        <a:ln w="9525">
          <a:noFill/>
          <a:miter lim="800000"/>
          <a:headEnd/>
          <a:tailEnd/>
        </a:ln>
      </xdr:spPr>
    </xdr:pic>
    <xdr:clientData/>
  </xdr:twoCellAnchor>
  <xdr:twoCellAnchor>
    <xdr:from>
      <xdr:col>3</xdr:col>
      <xdr:colOff>19050</xdr:colOff>
      <xdr:row>227</xdr:row>
      <xdr:rowOff>9525</xdr:rowOff>
    </xdr:from>
    <xdr:to>
      <xdr:col>3</xdr:col>
      <xdr:colOff>257175</xdr:colOff>
      <xdr:row>230</xdr:row>
      <xdr:rowOff>0</xdr:rowOff>
    </xdr:to>
    <xdr:sp macro="" textlink="">
      <xdr:nvSpPr>
        <xdr:cNvPr id="7757" name="AutoShape 7"/>
        <xdr:cNvSpPr>
          <a:spLocks noChangeArrowheads="1"/>
        </xdr:cNvSpPr>
      </xdr:nvSpPr>
      <xdr:spPr bwMode="auto">
        <a:xfrm>
          <a:off x="5267325" y="40947975"/>
          <a:ext cx="238125" cy="476250"/>
        </a:xfrm>
        <a:prstGeom prst="upDownArrow">
          <a:avLst>
            <a:gd name="adj1" fmla="val 50000"/>
            <a:gd name="adj2" fmla="val 40000"/>
          </a:avLst>
        </a:prstGeom>
        <a:solidFill>
          <a:srgbClr val="FFFFFF"/>
        </a:solidFill>
        <a:ln w="9525">
          <a:solidFill>
            <a:srgbClr val="000000"/>
          </a:solidFill>
          <a:miter lim="800000"/>
          <a:headEnd/>
          <a:tailEnd/>
        </a:ln>
      </xdr:spPr>
    </xdr:sp>
    <xdr:clientData/>
  </xdr:twoCellAnchor>
  <xdr:twoCellAnchor>
    <xdr:from>
      <xdr:col>3</xdr:col>
      <xdr:colOff>266700</xdr:colOff>
      <xdr:row>227</xdr:row>
      <xdr:rowOff>95250</xdr:rowOff>
    </xdr:from>
    <xdr:to>
      <xdr:col>4</xdr:col>
      <xdr:colOff>990600</xdr:colOff>
      <xdr:row>229</xdr:row>
      <xdr:rowOff>85725</xdr:rowOff>
    </xdr:to>
    <xdr:sp macro="" textlink="">
      <xdr:nvSpPr>
        <xdr:cNvPr id="7758" name="AutoShape 8"/>
        <xdr:cNvSpPr>
          <a:spLocks noChangeArrowheads="1"/>
        </xdr:cNvSpPr>
      </xdr:nvSpPr>
      <xdr:spPr bwMode="auto">
        <a:xfrm>
          <a:off x="5514975" y="41033700"/>
          <a:ext cx="1771650" cy="314325"/>
        </a:xfrm>
        <a:prstGeom prst="rightArrow">
          <a:avLst>
            <a:gd name="adj1" fmla="val 50000"/>
            <a:gd name="adj2" fmla="val 140909"/>
          </a:avLst>
        </a:prstGeom>
        <a:noFill/>
        <a:ln w="9525">
          <a:solidFill>
            <a:srgbClr val="000000"/>
          </a:solidFill>
          <a:miter lim="800000"/>
          <a:headEnd/>
          <a:tailEnd/>
        </a:ln>
      </xdr:spPr>
    </xdr:sp>
    <xdr:clientData/>
  </xdr:twoCellAnchor>
  <xdr:twoCellAnchor>
    <xdr:from>
      <xdr:col>5</xdr:col>
      <xdr:colOff>66675</xdr:colOff>
      <xdr:row>327</xdr:row>
      <xdr:rowOff>19050</xdr:rowOff>
    </xdr:from>
    <xdr:to>
      <xdr:col>8</xdr:col>
      <xdr:colOff>123825</xdr:colOff>
      <xdr:row>349</xdr:row>
      <xdr:rowOff>28575</xdr:rowOff>
    </xdr:to>
    <xdr:graphicFrame macro="">
      <xdr:nvGraphicFramePr>
        <xdr:cNvPr id="7759" name="Chart 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4</xdr:col>
      <xdr:colOff>85725</xdr:colOff>
      <xdr:row>492</xdr:row>
      <xdr:rowOff>19050</xdr:rowOff>
    </xdr:from>
    <xdr:to>
      <xdr:col>4</xdr:col>
      <xdr:colOff>933450</xdr:colOff>
      <xdr:row>496</xdr:row>
      <xdr:rowOff>57150</xdr:rowOff>
    </xdr:to>
    <xdr:sp macro="" textlink="">
      <xdr:nvSpPr>
        <xdr:cNvPr id="7760" name="AutoShape 14"/>
        <xdr:cNvSpPr>
          <a:spLocks noChangeArrowheads="1"/>
        </xdr:cNvSpPr>
      </xdr:nvSpPr>
      <xdr:spPr bwMode="auto">
        <a:xfrm>
          <a:off x="6381750" y="87515700"/>
          <a:ext cx="847725" cy="723900"/>
        </a:xfrm>
        <a:custGeom>
          <a:avLst/>
          <a:gdLst>
            <a:gd name="T0" fmla="*/ 16633580 w 21600"/>
            <a:gd name="T1" fmla="*/ 0 h 21600"/>
            <a:gd name="T2" fmla="*/ 4158797 w 21600"/>
            <a:gd name="T3" fmla="*/ 12130352 h 21600"/>
            <a:gd name="T4" fmla="*/ 16633580 w 21600"/>
            <a:gd name="T5" fmla="*/ 6065176 h 21600"/>
            <a:gd name="T6" fmla="*/ 37429057 w 21600"/>
            <a:gd name="T7" fmla="*/ 12130352 h 21600"/>
            <a:gd name="T8" fmla="*/ 29111464 w 21600"/>
            <a:gd name="T9" fmla="*/ 18195530 h 21600"/>
            <a:gd name="T10" fmla="*/ 20793912 w 21600"/>
            <a:gd name="T11" fmla="*/ 12130352 h 21600"/>
            <a:gd name="T12" fmla="*/ 0 60000 65536"/>
            <a:gd name="T13" fmla="*/ 0 60000 65536"/>
            <a:gd name="T14" fmla="*/ 0 60000 65536"/>
            <a:gd name="T15" fmla="*/ 0 60000 65536"/>
            <a:gd name="T16" fmla="*/ 0 60000 65536"/>
            <a:gd name="T17" fmla="*/ 0 60000 65536"/>
            <a:gd name="T18" fmla="*/ 3163 w 21600"/>
            <a:gd name="T19" fmla="*/ 3163 h 21600"/>
            <a:gd name="T20" fmla="*/ 18437 w 21600"/>
            <a:gd name="T21" fmla="*/ 18437 h 21600"/>
          </a:gdLst>
          <a:ahLst/>
          <a:cxnLst>
            <a:cxn ang="T12">
              <a:pos x="T0" y="T1"/>
            </a:cxn>
            <a:cxn ang="T13">
              <a:pos x="T2" y="T3"/>
            </a:cxn>
            <a:cxn ang="T14">
              <a:pos x="T4" y="T5"/>
            </a:cxn>
            <a:cxn ang="T15">
              <a:pos x="T6" y="T7"/>
            </a:cxn>
            <a:cxn ang="T16">
              <a:pos x="T8" y="T9"/>
            </a:cxn>
            <a:cxn ang="T17">
              <a:pos x="T10" y="T11"/>
            </a:cxn>
          </a:cxnLst>
          <a:rect l="T18" t="T19" r="T20" b="T21"/>
          <a:pathLst>
            <a:path w="21600" h="21600">
              <a:moveTo>
                <a:pt x="16200" y="10800"/>
              </a:moveTo>
              <a:cubicBezTo>
                <a:pt x="16200" y="7817"/>
                <a:pt x="13782" y="5400"/>
                <a:pt x="10800" y="5400"/>
              </a:cubicBezTo>
              <a:cubicBezTo>
                <a:pt x="7817" y="5400"/>
                <a:pt x="5400" y="7817"/>
                <a:pt x="5400" y="10800"/>
              </a:cubicBezTo>
              <a:lnTo>
                <a:pt x="0" y="10800"/>
              </a:lnTo>
              <a:cubicBezTo>
                <a:pt x="0" y="4835"/>
                <a:pt x="4835" y="0"/>
                <a:pt x="10800" y="0"/>
              </a:cubicBezTo>
              <a:cubicBezTo>
                <a:pt x="16764" y="0"/>
                <a:pt x="21599" y="4835"/>
                <a:pt x="21600" y="10799"/>
              </a:cubicBezTo>
              <a:lnTo>
                <a:pt x="21600" y="10800"/>
              </a:lnTo>
              <a:lnTo>
                <a:pt x="24300" y="10800"/>
              </a:lnTo>
              <a:lnTo>
                <a:pt x="18900" y="16200"/>
              </a:lnTo>
              <a:lnTo>
                <a:pt x="13500" y="10800"/>
              </a:lnTo>
              <a:lnTo>
                <a:pt x="16200" y="10800"/>
              </a:lnTo>
              <a:close/>
            </a:path>
          </a:pathLst>
        </a:custGeom>
        <a:solidFill>
          <a:srgbClr val="FFFFFF"/>
        </a:solidFill>
        <a:ln w="9525">
          <a:solidFill>
            <a:srgbClr val="000000"/>
          </a:solidFill>
          <a:miter lim="800000"/>
          <a:headEnd/>
          <a:tailEnd/>
        </a:ln>
      </xdr:spPr>
    </xdr:sp>
    <xdr:clientData/>
  </xdr:twoCellAnchor>
  <xdr:twoCellAnchor>
    <xdr:from>
      <xdr:col>4</xdr:col>
      <xdr:colOff>114300</xdr:colOff>
      <xdr:row>493</xdr:row>
      <xdr:rowOff>95250</xdr:rowOff>
    </xdr:from>
    <xdr:to>
      <xdr:col>4</xdr:col>
      <xdr:colOff>962025</xdr:colOff>
      <xdr:row>497</xdr:row>
      <xdr:rowOff>142875</xdr:rowOff>
    </xdr:to>
    <xdr:sp macro="" textlink="">
      <xdr:nvSpPr>
        <xdr:cNvPr id="7761" name="AutoShape 15"/>
        <xdr:cNvSpPr>
          <a:spLocks noChangeArrowheads="1"/>
        </xdr:cNvSpPr>
      </xdr:nvSpPr>
      <xdr:spPr bwMode="auto">
        <a:xfrm rot="10800000">
          <a:off x="6410325" y="87753825"/>
          <a:ext cx="847725" cy="733425"/>
        </a:xfrm>
        <a:custGeom>
          <a:avLst/>
          <a:gdLst>
            <a:gd name="T0" fmla="*/ 16633580 w 21600"/>
            <a:gd name="T1" fmla="*/ 0 h 21600"/>
            <a:gd name="T2" fmla="*/ 4158797 w 21600"/>
            <a:gd name="T3" fmla="*/ 12451689 h 21600"/>
            <a:gd name="T4" fmla="*/ 16633580 w 21600"/>
            <a:gd name="T5" fmla="*/ 6225827 h 21600"/>
            <a:gd name="T6" fmla="*/ 37429057 w 21600"/>
            <a:gd name="T7" fmla="*/ 12451689 h 21600"/>
            <a:gd name="T8" fmla="*/ 29111464 w 21600"/>
            <a:gd name="T9" fmla="*/ 18677518 h 21600"/>
            <a:gd name="T10" fmla="*/ 20793912 w 21600"/>
            <a:gd name="T11" fmla="*/ 12451689 h 21600"/>
            <a:gd name="T12" fmla="*/ 0 60000 65536"/>
            <a:gd name="T13" fmla="*/ 0 60000 65536"/>
            <a:gd name="T14" fmla="*/ 0 60000 65536"/>
            <a:gd name="T15" fmla="*/ 0 60000 65536"/>
            <a:gd name="T16" fmla="*/ 0 60000 65536"/>
            <a:gd name="T17" fmla="*/ 0 60000 65536"/>
            <a:gd name="T18" fmla="*/ 3163 w 21600"/>
            <a:gd name="T19" fmla="*/ 3163 h 21600"/>
            <a:gd name="T20" fmla="*/ 18437 w 21600"/>
            <a:gd name="T21" fmla="*/ 18437 h 21600"/>
          </a:gdLst>
          <a:ahLst/>
          <a:cxnLst>
            <a:cxn ang="T12">
              <a:pos x="T0" y="T1"/>
            </a:cxn>
            <a:cxn ang="T13">
              <a:pos x="T2" y="T3"/>
            </a:cxn>
            <a:cxn ang="T14">
              <a:pos x="T4" y="T5"/>
            </a:cxn>
            <a:cxn ang="T15">
              <a:pos x="T6" y="T7"/>
            </a:cxn>
            <a:cxn ang="T16">
              <a:pos x="T8" y="T9"/>
            </a:cxn>
            <a:cxn ang="T17">
              <a:pos x="T10" y="T11"/>
            </a:cxn>
          </a:cxnLst>
          <a:rect l="T18" t="T19" r="T20" b="T21"/>
          <a:pathLst>
            <a:path w="21600" h="21600">
              <a:moveTo>
                <a:pt x="16200" y="10800"/>
              </a:moveTo>
              <a:cubicBezTo>
                <a:pt x="16200" y="7817"/>
                <a:pt x="13782" y="5400"/>
                <a:pt x="10800" y="5400"/>
              </a:cubicBezTo>
              <a:cubicBezTo>
                <a:pt x="7817" y="5400"/>
                <a:pt x="5400" y="7817"/>
                <a:pt x="5400" y="10800"/>
              </a:cubicBezTo>
              <a:lnTo>
                <a:pt x="0" y="10800"/>
              </a:lnTo>
              <a:cubicBezTo>
                <a:pt x="0" y="4835"/>
                <a:pt x="4835" y="0"/>
                <a:pt x="10800" y="0"/>
              </a:cubicBezTo>
              <a:cubicBezTo>
                <a:pt x="16764" y="0"/>
                <a:pt x="21599" y="4835"/>
                <a:pt x="21600" y="10799"/>
              </a:cubicBezTo>
              <a:lnTo>
                <a:pt x="21600" y="10800"/>
              </a:lnTo>
              <a:lnTo>
                <a:pt x="24300" y="10800"/>
              </a:lnTo>
              <a:lnTo>
                <a:pt x="18900" y="16200"/>
              </a:lnTo>
              <a:lnTo>
                <a:pt x="13500" y="10800"/>
              </a:lnTo>
              <a:lnTo>
                <a:pt x="16200" y="10800"/>
              </a:lnTo>
              <a:close/>
            </a:path>
          </a:pathLst>
        </a:custGeom>
        <a:solidFill>
          <a:srgbClr val="FFFFFF"/>
        </a:solidFill>
        <a:ln w="9525">
          <a:solidFill>
            <a:srgbClr val="000000"/>
          </a:solidFill>
          <a:miter lim="800000"/>
          <a:headEnd/>
          <a:tailEnd/>
        </a:ln>
      </xdr:spPr>
    </xdr:sp>
    <xdr:clientData/>
  </xdr:twoCellAnchor>
  <xdr:twoCellAnchor>
    <xdr:from>
      <xdr:col>4</xdr:col>
      <xdr:colOff>85725</xdr:colOff>
      <xdr:row>604</xdr:row>
      <xdr:rowOff>85725</xdr:rowOff>
    </xdr:from>
    <xdr:to>
      <xdr:col>4</xdr:col>
      <xdr:colOff>981075</xdr:colOff>
      <xdr:row>604</xdr:row>
      <xdr:rowOff>85725</xdr:rowOff>
    </xdr:to>
    <xdr:sp macro="" textlink="">
      <xdr:nvSpPr>
        <xdr:cNvPr id="7762" name="Line 16"/>
        <xdr:cNvSpPr>
          <a:spLocks noChangeShapeType="1"/>
        </xdr:cNvSpPr>
      </xdr:nvSpPr>
      <xdr:spPr bwMode="auto">
        <a:xfrm>
          <a:off x="6381750" y="100993575"/>
          <a:ext cx="895350" cy="0"/>
        </a:xfrm>
        <a:prstGeom prst="line">
          <a:avLst/>
        </a:prstGeom>
        <a:noFill/>
        <a:ln w="38100">
          <a:solidFill>
            <a:srgbClr val="000000"/>
          </a:solidFill>
          <a:round/>
          <a:headEnd/>
          <a:tailEnd type="triangle" w="med" len="med"/>
        </a:ln>
      </xdr:spPr>
    </xdr:sp>
    <xdr:clientData/>
  </xdr:twoCellAnchor>
  <xdr:twoCellAnchor>
    <xdr:from>
      <xdr:col>6</xdr:col>
      <xdr:colOff>57150</xdr:colOff>
      <xdr:row>602</xdr:row>
      <xdr:rowOff>114300</xdr:rowOff>
    </xdr:from>
    <xdr:to>
      <xdr:col>6</xdr:col>
      <xdr:colOff>1066800</xdr:colOff>
      <xdr:row>604</xdr:row>
      <xdr:rowOff>76200</xdr:rowOff>
    </xdr:to>
    <xdr:sp macro="" textlink="">
      <xdr:nvSpPr>
        <xdr:cNvPr id="7763" name="Line 17"/>
        <xdr:cNvSpPr>
          <a:spLocks noChangeShapeType="1"/>
        </xdr:cNvSpPr>
      </xdr:nvSpPr>
      <xdr:spPr bwMode="auto">
        <a:xfrm flipV="1">
          <a:off x="8448675" y="100698300"/>
          <a:ext cx="1009650" cy="285750"/>
        </a:xfrm>
        <a:prstGeom prst="line">
          <a:avLst/>
        </a:prstGeom>
        <a:noFill/>
        <a:ln w="38100">
          <a:solidFill>
            <a:srgbClr val="000000"/>
          </a:solidFill>
          <a:round/>
          <a:headEnd/>
          <a:tailEnd type="triangle" w="med" len="med"/>
        </a:ln>
      </xdr:spPr>
    </xdr:sp>
    <xdr:clientData/>
  </xdr:twoCellAnchor>
  <xdr:twoCellAnchor>
    <xdr:from>
      <xdr:col>6</xdr:col>
      <xdr:colOff>57150</xdr:colOff>
      <xdr:row>604</xdr:row>
      <xdr:rowOff>76200</xdr:rowOff>
    </xdr:from>
    <xdr:to>
      <xdr:col>6</xdr:col>
      <xdr:colOff>1066800</xdr:colOff>
      <xdr:row>606</xdr:row>
      <xdr:rowOff>152400</xdr:rowOff>
    </xdr:to>
    <xdr:sp macro="" textlink="">
      <xdr:nvSpPr>
        <xdr:cNvPr id="7764" name="Line 18"/>
        <xdr:cNvSpPr>
          <a:spLocks noChangeShapeType="1"/>
        </xdr:cNvSpPr>
      </xdr:nvSpPr>
      <xdr:spPr bwMode="auto">
        <a:xfrm>
          <a:off x="8448675" y="100984050"/>
          <a:ext cx="1009650" cy="400050"/>
        </a:xfrm>
        <a:prstGeom prst="line">
          <a:avLst/>
        </a:prstGeom>
        <a:noFill/>
        <a:ln w="38100">
          <a:solidFill>
            <a:srgbClr val="000000"/>
          </a:solidFill>
          <a:round/>
          <a:headEnd/>
          <a:tailEnd type="triangle" w="med" len="med"/>
        </a:ln>
      </xdr:spPr>
    </xdr:sp>
    <xdr:clientData/>
  </xdr:twoCellAnchor>
  <xdr:twoCellAnchor editAs="oneCell">
    <xdr:from>
      <xdr:col>6</xdr:col>
      <xdr:colOff>476250</xdr:colOff>
      <xdr:row>465</xdr:row>
      <xdr:rowOff>47625</xdr:rowOff>
    </xdr:from>
    <xdr:to>
      <xdr:col>7</xdr:col>
      <xdr:colOff>638175</xdr:colOff>
      <xdr:row>470</xdr:row>
      <xdr:rowOff>47626</xdr:rowOff>
    </xdr:to>
    <xdr:pic>
      <xdr:nvPicPr>
        <xdr:cNvPr id="7765" name="Picture 22" descr="geld">
          <a:hlinkClick xmlns:r="http://schemas.openxmlformats.org/officeDocument/2006/relationships" r:id="rId8"/>
        </xdr:cNvPr>
        <xdr:cNvPicPr>
          <a:picLocks noChangeAspect="1" noChangeArrowheads="1"/>
        </xdr:cNvPicPr>
      </xdr:nvPicPr>
      <xdr:blipFill>
        <a:blip xmlns:r="http://schemas.openxmlformats.org/officeDocument/2006/relationships" r:embed="rId9" cstate="print"/>
        <a:srcRect/>
        <a:stretch>
          <a:fillRect/>
        </a:stretch>
      </xdr:blipFill>
      <xdr:spPr bwMode="auto">
        <a:xfrm>
          <a:off x="8867775" y="83086575"/>
          <a:ext cx="1304925" cy="819150"/>
        </a:xfrm>
        <a:prstGeom prst="rect">
          <a:avLst/>
        </a:prstGeom>
        <a:noFill/>
        <a:ln w="9525">
          <a:noFill/>
          <a:miter lim="800000"/>
          <a:headEnd/>
          <a:tailEnd/>
        </a:ln>
      </xdr:spPr>
    </xdr:pic>
    <xdr:clientData/>
  </xdr:twoCellAnchor>
  <xdr:twoCellAnchor editAs="oneCell">
    <xdr:from>
      <xdr:col>1</xdr:col>
      <xdr:colOff>47625</xdr:colOff>
      <xdr:row>490</xdr:row>
      <xdr:rowOff>9525</xdr:rowOff>
    </xdr:from>
    <xdr:to>
      <xdr:col>1</xdr:col>
      <xdr:colOff>1562100</xdr:colOff>
      <xdr:row>498</xdr:row>
      <xdr:rowOff>142876</xdr:rowOff>
    </xdr:to>
    <xdr:pic>
      <xdr:nvPicPr>
        <xdr:cNvPr id="7766" name="Picture 23" descr="uitgeput">
          <a:hlinkClick xmlns:r="http://schemas.openxmlformats.org/officeDocument/2006/relationships" r:id="rId10"/>
        </xdr:cNvPr>
        <xdr:cNvPicPr>
          <a:picLocks noChangeAspect="1" noChangeArrowheads="1"/>
        </xdr:cNvPicPr>
      </xdr:nvPicPr>
      <xdr:blipFill>
        <a:blip xmlns:r="http://schemas.openxmlformats.org/officeDocument/2006/relationships" r:embed="rId11" cstate="print"/>
        <a:srcRect/>
        <a:stretch>
          <a:fillRect/>
        </a:stretch>
      </xdr:blipFill>
      <xdr:spPr bwMode="auto">
        <a:xfrm>
          <a:off x="304800" y="87182325"/>
          <a:ext cx="1514475" cy="1466850"/>
        </a:xfrm>
        <a:prstGeom prst="rect">
          <a:avLst/>
        </a:prstGeom>
        <a:noFill/>
        <a:ln w="9525">
          <a:noFill/>
          <a:miter lim="800000"/>
          <a:headEnd/>
          <a:tailEnd/>
        </a:ln>
      </xdr:spPr>
    </xdr:pic>
    <xdr:clientData/>
  </xdr:twoCellAnchor>
  <xdr:twoCellAnchor editAs="oneCell">
    <xdr:from>
      <xdr:col>4</xdr:col>
      <xdr:colOff>466725</xdr:colOff>
      <xdr:row>617</xdr:row>
      <xdr:rowOff>85725</xdr:rowOff>
    </xdr:from>
    <xdr:to>
      <xdr:col>6</xdr:col>
      <xdr:colOff>573571</xdr:colOff>
      <xdr:row>621</xdr:row>
      <xdr:rowOff>438150</xdr:rowOff>
    </xdr:to>
    <xdr:pic>
      <xdr:nvPicPr>
        <xdr:cNvPr id="7767" name="Picture 25" descr="geld">
          <a:hlinkClick xmlns:r="http://schemas.openxmlformats.org/officeDocument/2006/relationships" r:id="rId12"/>
        </xdr:cNvPr>
        <xdr:cNvPicPr>
          <a:picLocks noChangeAspect="1" noChangeArrowheads="1"/>
        </xdr:cNvPicPr>
      </xdr:nvPicPr>
      <xdr:blipFill>
        <a:blip xmlns:r="http://schemas.openxmlformats.org/officeDocument/2006/relationships" r:embed="rId13" cstate="print"/>
        <a:srcRect/>
        <a:stretch>
          <a:fillRect/>
        </a:stretch>
      </xdr:blipFill>
      <xdr:spPr bwMode="auto">
        <a:xfrm>
          <a:off x="6762750" y="103098600"/>
          <a:ext cx="2352675" cy="1485900"/>
        </a:xfrm>
        <a:prstGeom prst="rect">
          <a:avLst/>
        </a:prstGeom>
        <a:noFill/>
        <a:ln w="9525">
          <a:noFill/>
          <a:miter lim="800000"/>
          <a:headEnd/>
          <a:tailEnd/>
        </a:ln>
      </xdr:spPr>
    </xdr:pic>
    <xdr:clientData/>
  </xdr:twoCellAnchor>
  <xdr:twoCellAnchor>
    <xdr:from>
      <xdr:col>4</xdr:col>
      <xdr:colOff>180975</xdr:colOff>
      <xdr:row>27</xdr:row>
      <xdr:rowOff>114300</xdr:rowOff>
    </xdr:from>
    <xdr:to>
      <xdr:col>6</xdr:col>
      <xdr:colOff>657225</xdr:colOff>
      <xdr:row>31</xdr:row>
      <xdr:rowOff>200025</xdr:rowOff>
    </xdr:to>
    <xdr:sp macro="" textlink="">
      <xdr:nvSpPr>
        <xdr:cNvPr id="16" name="Golf 15">
          <a:hlinkClick xmlns:r="http://schemas.openxmlformats.org/officeDocument/2006/relationships" r:id="rId14"/>
        </xdr:cNvPr>
        <xdr:cNvSpPr/>
      </xdr:nvSpPr>
      <xdr:spPr>
        <a:xfrm>
          <a:off x="6477000" y="4886325"/>
          <a:ext cx="2581275" cy="1238250"/>
        </a:xfrm>
        <a:prstGeom prst="wave">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nl-NL" sz="2000">
              <a:solidFill>
                <a:sysClr val="windowText" lastClr="000000"/>
              </a:solidFill>
            </a:rPr>
            <a:t>Strategisch</a:t>
          </a:r>
          <a:r>
            <a:rPr lang="nl-NL" sz="2000" baseline="0">
              <a:solidFill>
                <a:sysClr val="windowText" lastClr="000000"/>
              </a:solidFill>
            </a:rPr>
            <a:t> HRM</a:t>
          </a:r>
          <a:endParaRPr lang="nl-NL" sz="2000">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666750</xdr:colOff>
      <xdr:row>98</xdr:row>
      <xdr:rowOff>66675</xdr:rowOff>
    </xdr:from>
    <xdr:to>
      <xdr:col>5</xdr:col>
      <xdr:colOff>666750</xdr:colOff>
      <xdr:row>106</xdr:row>
      <xdr:rowOff>95250</xdr:rowOff>
    </xdr:to>
    <xdr:sp macro="" textlink="">
      <xdr:nvSpPr>
        <xdr:cNvPr id="112784" name="Line 5"/>
        <xdr:cNvSpPr>
          <a:spLocks noChangeShapeType="1"/>
        </xdr:cNvSpPr>
      </xdr:nvSpPr>
      <xdr:spPr bwMode="auto">
        <a:xfrm>
          <a:off x="8086725" y="19173825"/>
          <a:ext cx="0" cy="1323975"/>
        </a:xfrm>
        <a:prstGeom prst="line">
          <a:avLst/>
        </a:prstGeom>
        <a:noFill/>
        <a:ln w="9525">
          <a:solidFill>
            <a:srgbClr val="000000"/>
          </a:solidFill>
          <a:round/>
          <a:headEnd/>
          <a:tailEnd type="triangle" w="med" len="med"/>
        </a:ln>
      </xdr:spPr>
    </xdr:sp>
    <xdr:clientData/>
  </xdr:twoCellAnchor>
  <xdr:twoCellAnchor>
    <xdr:from>
      <xdr:col>3</xdr:col>
      <xdr:colOff>428625</xdr:colOff>
      <xdr:row>98</xdr:row>
      <xdr:rowOff>76200</xdr:rowOff>
    </xdr:from>
    <xdr:to>
      <xdr:col>3</xdr:col>
      <xdr:colOff>428625</xdr:colOff>
      <xdr:row>106</xdr:row>
      <xdr:rowOff>104775</xdr:rowOff>
    </xdr:to>
    <xdr:sp macro="" textlink="">
      <xdr:nvSpPr>
        <xdr:cNvPr id="112785" name="Line 6"/>
        <xdr:cNvSpPr>
          <a:spLocks noChangeShapeType="1"/>
        </xdr:cNvSpPr>
      </xdr:nvSpPr>
      <xdr:spPr bwMode="auto">
        <a:xfrm>
          <a:off x="5753100" y="19183350"/>
          <a:ext cx="0" cy="1323975"/>
        </a:xfrm>
        <a:prstGeom prst="line">
          <a:avLst/>
        </a:prstGeom>
        <a:noFill/>
        <a:ln w="9525">
          <a:solidFill>
            <a:srgbClr val="000000"/>
          </a:solidFill>
          <a:round/>
          <a:headEnd/>
          <a:tailEnd type="triangle" w="med" len="med"/>
        </a:ln>
      </xdr:spPr>
    </xdr:sp>
    <xdr:clientData/>
  </xdr:twoCellAnchor>
  <xdr:twoCellAnchor>
    <xdr:from>
      <xdr:col>4</xdr:col>
      <xdr:colOff>1009650</xdr:colOff>
      <xdr:row>185</xdr:row>
      <xdr:rowOff>0</xdr:rowOff>
    </xdr:from>
    <xdr:to>
      <xdr:col>5</xdr:col>
      <xdr:colOff>228600</xdr:colOff>
      <xdr:row>186</xdr:row>
      <xdr:rowOff>104775</xdr:rowOff>
    </xdr:to>
    <xdr:sp macro="" textlink="">
      <xdr:nvSpPr>
        <xdr:cNvPr id="112786" name="Line 7"/>
        <xdr:cNvSpPr>
          <a:spLocks noChangeShapeType="1"/>
        </xdr:cNvSpPr>
      </xdr:nvSpPr>
      <xdr:spPr bwMode="auto">
        <a:xfrm>
          <a:off x="7381875" y="30318075"/>
          <a:ext cx="266700" cy="266700"/>
        </a:xfrm>
        <a:prstGeom prst="line">
          <a:avLst/>
        </a:prstGeom>
        <a:noFill/>
        <a:ln w="9525">
          <a:solidFill>
            <a:srgbClr val="000000"/>
          </a:solidFill>
          <a:round/>
          <a:headEnd/>
          <a:tailEnd type="triangle" w="med" len="med"/>
        </a:ln>
      </xdr:spPr>
    </xdr:sp>
    <xdr:clientData/>
  </xdr:twoCellAnchor>
  <xdr:twoCellAnchor>
    <xdr:from>
      <xdr:col>3</xdr:col>
      <xdr:colOff>771525</xdr:colOff>
      <xdr:row>184</xdr:row>
      <xdr:rowOff>142875</xdr:rowOff>
    </xdr:from>
    <xdr:to>
      <xdr:col>4</xdr:col>
      <xdr:colOff>38100</xdr:colOff>
      <xdr:row>186</xdr:row>
      <xdr:rowOff>114300</xdr:rowOff>
    </xdr:to>
    <xdr:sp macro="" textlink="">
      <xdr:nvSpPr>
        <xdr:cNvPr id="112787" name="Line 8"/>
        <xdr:cNvSpPr>
          <a:spLocks noChangeShapeType="1"/>
        </xdr:cNvSpPr>
      </xdr:nvSpPr>
      <xdr:spPr bwMode="auto">
        <a:xfrm flipH="1">
          <a:off x="6096000" y="30299025"/>
          <a:ext cx="314325" cy="295275"/>
        </a:xfrm>
        <a:prstGeom prst="line">
          <a:avLst/>
        </a:prstGeom>
        <a:noFill/>
        <a:ln w="9525">
          <a:solidFill>
            <a:srgbClr val="000000"/>
          </a:solidFill>
          <a:round/>
          <a:headEnd/>
          <a:tailEnd type="triangle" w="med" len="med"/>
        </a:ln>
      </xdr:spPr>
    </xdr:sp>
    <xdr:clientData/>
  </xdr:twoCellAnchor>
  <xdr:twoCellAnchor>
    <xdr:from>
      <xdr:col>4</xdr:col>
      <xdr:colOff>923925</xdr:colOff>
      <xdr:row>188</xdr:row>
      <xdr:rowOff>19050</xdr:rowOff>
    </xdr:from>
    <xdr:to>
      <xdr:col>5</xdr:col>
      <xdr:colOff>123825</xdr:colOff>
      <xdr:row>189</xdr:row>
      <xdr:rowOff>104775</xdr:rowOff>
    </xdr:to>
    <xdr:sp macro="" textlink="">
      <xdr:nvSpPr>
        <xdr:cNvPr id="112788" name="Line 9"/>
        <xdr:cNvSpPr>
          <a:spLocks noChangeShapeType="1"/>
        </xdr:cNvSpPr>
      </xdr:nvSpPr>
      <xdr:spPr bwMode="auto">
        <a:xfrm flipH="1">
          <a:off x="7296150" y="30822900"/>
          <a:ext cx="247650" cy="247650"/>
        </a:xfrm>
        <a:prstGeom prst="line">
          <a:avLst/>
        </a:prstGeom>
        <a:noFill/>
        <a:ln w="9525">
          <a:solidFill>
            <a:srgbClr val="000000"/>
          </a:solidFill>
          <a:round/>
          <a:headEnd/>
          <a:tailEnd type="triangle" w="med" len="med"/>
        </a:ln>
      </xdr:spPr>
    </xdr:sp>
    <xdr:clientData/>
  </xdr:twoCellAnchor>
  <xdr:twoCellAnchor>
    <xdr:from>
      <xdr:col>3</xdr:col>
      <xdr:colOff>942975</xdr:colOff>
      <xdr:row>188</xdr:row>
      <xdr:rowOff>9525</xdr:rowOff>
    </xdr:from>
    <xdr:to>
      <xdr:col>4</xdr:col>
      <xdr:colOff>142875</xdr:colOff>
      <xdr:row>189</xdr:row>
      <xdr:rowOff>95250</xdr:rowOff>
    </xdr:to>
    <xdr:sp macro="" textlink="">
      <xdr:nvSpPr>
        <xdr:cNvPr id="112789" name="Line 10"/>
        <xdr:cNvSpPr>
          <a:spLocks noChangeShapeType="1"/>
        </xdr:cNvSpPr>
      </xdr:nvSpPr>
      <xdr:spPr bwMode="auto">
        <a:xfrm>
          <a:off x="6267450" y="30813375"/>
          <a:ext cx="247650" cy="247650"/>
        </a:xfrm>
        <a:prstGeom prst="line">
          <a:avLst/>
        </a:prstGeom>
        <a:noFill/>
        <a:ln w="9525">
          <a:solidFill>
            <a:srgbClr val="000000"/>
          </a:solidFill>
          <a:round/>
          <a:headEnd/>
          <a:tailEnd type="triangle" w="med" len="med"/>
        </a:ln>
      </xdr:spPr>
    </xdr:sp>
    <xdr:clientData/>
  </xdr:twoCellAnchor>
  <xdr:twoCellAnchor>
    <xdr:from>
      <xdr:col>3</xdr:col>
      <xdr:colOff>409575</xdr:colOff>
      <xdr:row>180</xdr:row>
      <xdr:rowOff>85725</xdr:rowOff>
    </xdr:from>
    <xdr:to>
      <xdr:col>4</xdr:col>
      <xdr:colOff>47625</xdr:colOff>
      <xdr:row>180</xdr:row>
      <xdr:rowOff>85725</xdr:rowOff>
    </xdr:to>
    <xdr:sp macro="" textlink="">
      <xdr:nvSpPr>
        <xdr:cNvPr id="112790" name="Line 11"/>
        <xdr:cNvSpPr>
          <a:spLocks noChangeShapeType="1"/>
        </xdr:cNvSpPr>
      </xdr:nvSpPr>
      <xdr:spPr bwMode="auto">
        <a:xfrm flipH="1">
          <a:off x="5734050" y="29594175"/>
          <a:ext cx="685800" cy="0"/>
        </a:xfrm>
        <a:prstGeom prst="line">
          <a:avLst/>
        </a:prstGeom>
        <a:noFill/>
        <a:ln w="9525">
          <a:solidFill>
            <a:srgbClr val="000000"/>
          </a:solidFill>
          <a:round/>
          <a:headEnd/>
          <a:tailEnd type="triangle" w="med" len="med"/>
        </a:ln>
      </xdr:spPr>
    </xdr:sp>
    <xdr:clientData/>
  </xdr:twoCellAnchor>
  <xdr:twoCellAnchor>
    <xdr:from>
      <xdr:col>4</xdr:col>
      <xdr:colOff>1019175</xdr:colOff>
      <xdr:row>180</xdr:row>
      <xdr:rowOff>85725</xdr:rowOff>
    </xdr:from>
    <xdr:to>
      <xdr:col>5</xdr:col>
      <xdr:colOff>619125</xdr:colOff>
      <xdr:row>180</xdr:row>
      <xdr:rowOff>85725</xdr:rowOff>
    </xdr:to>
    <xdr:sp macro="" textlink="">
      <xdr:nvSpPr>
        <xdr:cNvPr id="112791" name="Line 12"/>
        <xdr:cNvSpPr>
          <a:spLocks noChangeShapeType="1"/>
        </xdr:cNvSpPr>
      </xdr:nvSpPr>
      <xdr:spPr bwMode="auto">
        <a:xfrm>
          <a:off x="7391400" y="29594175"/>
          <a:ext cx="647700" cy="0"/>
        </a:xfrm>
        <a:prstGeom prst="line">
          <a:avLst/>
        </a:prstGeom>
        <a:noFill/>
        <a:ln w="9525">
          <a:solidFill>
            <a:srgbClr val="000000"/>
          </a:solidFill>
          <a:round/>
          <a:headEnd/>
          <a:tailEnd type="triangle" w="med" len="med"/>
        </a:ln>
      </xdr:spPr>
    </xdr:sp>
    <xdr:clientData/>
  </xdr:twoCellAnchor>
  <xdr:twoCellAnchor>
    <xdr:from>
      <xdr:col>4</xdr:col>
      <xdr:colOff>542925</xdr:colOff>
      <xdr:row>178</xdr:row>
      <xdr:rowOff>142875</xdr:rowOff>
    </xdr:from>
    <xdr:to>
      <xdr:col>4</xdr:col>
      <xdr:colOff>542925</xdr:colOff>
      <xdr:row>180</xdr:row>
      <xdr:rowOff>9525</xdr:rowOff>
    </xdr:to>
    <xdr:sp macro="" textlink="">
      <xdr:nvSpPr>
        <xdr:cNvPr id="112792" name="Line 13"/>
        <xdr:cNvSpPr>
          <a:spLocks noChangeShapeType="1"/>
        </xdr:cNvSpPr>
      </xdr:nvSpPr>
      <xdr:spPr bwMode="auto">
        <a:xfrm>
          <a:off x="6915150" y="29327475"/>
          <a:ext cx="0" cy="190500"/>
        </a:xfrm>
        <a:prstGeom prst="line">
          <a:avLst/>
        </a:prstGeom>
        <a:noFill/>
        <a:ln w="9525">
          <a:solidFill>
            <a:srgbClr val="000000"/>
          </a:solidFill>
          <a:round/>
          <a:headEnd/>
          <a:tailEnd type="triangle" w="med" len="med"/>
        </a:ln>
      </xdr:spPr>
    </xdr:sp>
    <xdr:clientData/>
  </xdr:twoCellAnchor>
  <xdr:twoCellAnchor>
    <xdr:from>
      <xdr:col>4</xdr:col>
      <xdr:colOff>542925</xdr:colOff>
      <xdr:row>180</xdr:row>
      <xdr:rowOff>152400</xdr:rowOff>
    </xdr:from>
    <xdr:to>
      <xdr:col>4</xdr:col>
      <xdr:colOff>542925</xdr:colOff>
      <xdr:row>182</xdr:row>
      <xdr:rowOff>19050</xdr:rowOff>
    </xdr:to>
    <xdr:sp macro="" textlink="">
      <xdr:nvSpPr>
        <xdr:cNvPr id="112793" name="Line 14"/>
        <xdr:cNvSpPr>
          <a:spLocks noChangeShapeType="1"/>
        </xdr:cNvSpPr>
      </xdr:nvSpPr>
      <xdr:spPr bwMode="auto">
        <a:xfrm>
          <a:off x="6915150" y="29660850"/>
          <a:ext cx="0" cy="190500"/>
        </a:xfrm>
        <a:prstGeom prst="line">
          <a:avLst/>
        </a:prstGeom>
        <a:noFill/>
        <a:ln w="9525">
          <a:solidFill>
            <a:srgbClr val="000000"/>
          </a:solidFill>
          <a:round/>
          <a:headEnd/>
          <a:tailEnd type="triangle" w="med" len="med"/>
        </a:ln>
      </xdr:spPr>
    </xdr:sp>
    <xdr:clientData/>
  </xdr:twoCellAnchor>
  <xdr:twoCellAnchor>
    <xdr:from>
      <xdr:col>4</xdr:col>
      <xdr:colOff>542925</xdr:colOff>
      <xdr:row>183</xdr:row>
      <xdr:rowOff>9525</xdr:rowOff>
    </xdr:from>
    <xdr:to>
      <xdr:col>4</xdr:col>
      <xdr:colOff>542925</xdr:colOff>
      <xdr:row>184</xdr:row>
      <xdr:rowOff>28575</xdr:rowOff>
    </xdr:to>
    <xdr:sp macro="" textlink="">
      <xdr:nvSpPr>
        <xdr:cNvPr id="112794" name="Line 15"/>
        <xdr:cNvSpPr>
          <a:spLocks noChangeShapeType="1"/>
        </xdr:cNvSpPr>
      </xdr:nvSpPr>
      <xdr:spPr bwMode="auto">
        <a:xfrm>
          <a:off x="6915150" y="30003750"/>
          <a:ext cx="0" cy="180975"/>
        </a:xfrm>
        <a:prstGeom prst="line">
          <a:avLst/>
        </a:prstGeom>
        <a:noFill/>
        <a:ln w="9525">
          <a:solidFill>
            <a:srgbClr val="000000"/>
          </a:solidFill>
          <a:round/>
          <a:headEnd/>
          <a:tailEnd type="triangle" w="med" len="med"/>
        </a:ln>
      </xdr:spPr>
    </xdr:sp>
    <xdr:clientData/>
  </xdr:twoCellAnchor>
  <xdr:twoCellAnchor>
    <xdr:from>
      <xdr:col>4</xdr:col>
      <xdr:colOff>542925</xdr:colOff>
      <xdr:row>190</xdr:row>
      <xdr:rowOff>9525</xdr:rowOff>
    </xdr:from>
    <xdr:to>
      <xdr:col>4</xdr:col>
      <xdr:colOff>542925</xdr:colOff>
      <xdr:row>191</xdr:row>
      <xdr:rowOff>28575</xdr:rowOff>
    </xdr:to>
    <xdr:sp macro="" textlink="">
      <xdr:nvSpPr>
        <xdr:cNvPr id="112795" name="Line 16"/>
        <xdr:cNvSpPr>
          <a:spLocks noChangeShapeType="1"/>
        </xdr:cNvSpPr>
      </xdr:nvSpPr>
      <xdr:spPr bwMode="auto">
        <a:xfrm>
          <a:off x="6915150" y="31137225"/>
          <a:ext cx="0" cy="180975"/>
        </a:xfrm>
        <a:prstGeom prst="line">
          <a:avLst/>
        </a:prstGeom>
        <a:noFill/>
        <a:ln w="9525">
          <a:solidFill>
            <a:srgbClr val="000000"/>
          </a:solidFill>
          <a:round/>
          <a:headEnd/>
          <a:tailEnd type="triangle" w="med" len="med"/>
        </a:ln>
      </xdr:spPr>
    </xdr:sp>
    <xdr:clientData/>
  </xdr:twoCellAnchor>
  <xdr:twoCellAnchor>
    <xdr:from>
      <xdr:col>4</xdr:col>
      <xdr:colOff>542925</xdr:colOff>
      <xdr:row>194</xdr:row>
      <xdr:rowOff>19050</xdr:rowOff>
    </xdr:from>
    <xdr:to>
      <xdr:col>4</xdr:col>
      <xdr:colOff>542925</xdr:colOff>
      <xdr:row>195</xdr:row>
      <xdr:rowOff>38100</xdr:rowOff>
    </xdr:to>
    <xdr:sp macro="" textlink="">
      <xdr:nvSpPr>
        <xdr:cNvPr id="112796" name="Line 17"/>
        <xdr:cNvSpPr>
          <a:spLocks noChangeShapeType="1"/>
        </xdr:cNvSpPr>
      </xdr:nvSpPr>
      <xdr:spPr bwMode="auto">
        <a:xfrm>
          <a:off x="6915150" y="31794450"/>
          <a:ext cx="0" cy="180975"/>
        </a:xfrm>
        <a:prstGeom prst="line">
          <a:avLst/>
        </a:prstGeom>
        <a:noFill/>
        <a:ln w="9525">
          <a:solidFill>
            <a:srgbClr val="000000"/>
          </a:solidFill>
          <a:round/>
          <a:headEnd/>
          <a:tailEnd type="triangle" w="med" len="med"/>
        </a:ln>
      </xdr:spPr>
    </xdr:sp>
    <xdr:clientData/>
  </xdr:twoCellAnchor>
  <xdr:twoCellAnchor>
    <xdr:from>
      <xdr:col>4</xdr:col>
      <xdr:colOff>542925</xdr:colOff>
      <xdr:row>191</xdr:row>
      <xdr:rowOff>152400</xdr:rowOff>
    </xdr:from>
    <xdr:to>
      <xdr:col>4</xdr:col>
      <xdr:colOff>542925</xdr:colOff>
      <xdr:row>192</xdr:row>
      <xdr:rowOff>142875</xdr:rowOff>
    </xdr:to>
    <xdr:sp macro="" textlink="">
      <xdr:nvSpPr>
        <xdr:cNvPr id="112797" name="Line 18"/>
        <xdr:cNvSpPr>
          <a:spLocks noChangeShapeType="1"/>
        </xdr:cNvSpPr>
      </xdr:nvSpPr>
      <xdr:spPr bwMode="auto">
        <a:xfrm>
          <a:off x="6915150" y="31442025"/>
          <a:ext cx="0" cy="152400"/>
        </a:xfrm>
        <a:prstGeom prst="line">
          <a:avLst/>
        </a:prstGeom>
        <a:noFill/>
        <a:ln w="9525">
          <a:solidFill>
            <a:srgbClr val="000000"/>
          </a:solidFill>
          <a:round/>
          <a:headEnd/>
          <a:tailEnd type="triangle" w="med" len="med"/>
        </a:ln>
      </xdr:spPr>
    </xdr:sp>
    <xdr:clientData/>
  </xdr:twoCellAnchor>
  <xdr:twoCellAnchor editAs="oneCell">
    <xdr:from>
      <xdr:col>6</xdr:col>
      <xdr:colOff>57150</xdr:colOff>
      <xdr:row>111</xdr:row>
      <xdr:rowOff>19050</xdr:rowOff>
    </xdr:from>
    <xdr:to>
      <xdr:col>8</xdr:col>
      <xdr:colOff>0</xdr:colOff>
      <xdr:row>120</xdr:row>
      <xdr:rowOff>85725</xdr:rowOff>
    </xdr:to>
    <xdr:pic>
      <xdr:nvPicPr>
        <xdr:cNvPr id="112798" name="Picture 20">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8524875" y="21231225"/>
          <a:ext cx="2228850" cy="1524000"/>
        </a:xfrm>
        <a:prstGeom prst="rect">
          <a:avLst/>
        </a:prstGeom>
        <a:noFill/>
        <a:ln w="1">
          <a:noFill/>
          <a:miter lim="800000"/>
          <a:headEnd/>
          <a:tailEnd/>
        </a:ln>
      </xdr:spPr>
    </xdr:pic>
    <xdr:clientData/>
  </xdr:twoCellAnchor>
  <xdr:twoCellAnchor editAs="oneCell">
    <xdr:from>
      <xdr:col>5</xdr:col>
      <xdr:colOff>714375</xdr:colOff>
      <xdr:row>232</xdr:row>
      <xdr:rowOff>9525</xdr:rowOff>
    </xdr:from>
    <xdr:to>
      <xdr:col>7</xdr:col>
      <xdr:colOff>904874</xdr:colOff>
      <xdr:row>243</xdr:row>
      <xdr:rowOff>0</xdr:rowOff>
    </xdr:to>
    <xdr:pic>
      <xdr:nvPicPr>
        <xdr:cNvPr id="112799" name="Picture 23" descr="Markt-Vraag&amp;aanbod-prijs">
          <a:hlinkClick xmlns:r="http://schemas.openxmlformats.org/officeDocument/2006/relationships" r:id="rId3"/>
        </xdr:cNvPr>
        <xdr:cNvPicPr>
          <a:picLocks noChangeAspect="1" noChangeArrowheads="1"/>
        </xdr:cNvPicPr>
      </xdr:nvPicPr>
      <xdr:blipFill>
        <a:blip xmlns:r="http://schemas.openxmlformats.org/officeDocument/2006/relationships" r:embed="rId4" cstate="print"/>
        <a:srcRect/>
        <a:stretch>
          <a:fillRect/>
        </a:stretch>
      </xdr:blipFill>
      <xdr:spPr bwMode="auto">
        <a:xfrm>
          <a:off x="8134350" y="38300025"/>
          <a:ext cx="2381250" cy="1771650"/>
        </a:xfrm>
        <a:prstGeom prst="rect">
          <a:avLst/>
        </a:prstGeom>
        <a:noFill/>
        <a:ln w="9525">
          <a:noFill/>
          <a:miter lim="800000"/>
          <a:headEnd/>
          <a:tailEnd/>
        </a:ln>
      </xdr:spPr>
    </xdr:pic>
    <xdr:clientData/>
  </xdr:twoCellAnchor>
  <xdr:twoCellAnchor editAs="oneCell">
    <xdr:from>
      <xdr:col>6</xdr:col>
      <xdr:colOff>0</xdr:colOff>
      <xdr:row>289</xdr:row>
      <xdr:rowOff>0</xdr:rowOff>
    </xdr:from>
    <xdr:to>
      <xdr:col>7</xdr:col>
      <xdr:colOff>752475</xdr:colOff>
      <xdr:row>297</xdr:row>
      <xdr:rowOff>85724</xdr:rowOff>
    </xdr:to>
    <xdr:pic>
      <xdr:nvPicPr>
        <xdr:cNvPr id="112800" name="Picture 24">
          <a:hlinkClick xmlns:r="http://schemas.openxmlformats.org/officeDocument/2006/relationships" r:id="rId5"/>
        </xdr:cNvPr>
        <xdr:cNvPicPr>
          <a:picLocks noChangeAspect="1" noChangeArrowheads="1"/>
        </xdr:cNvPicPr>
      </xdr:nvPicPr>
      <xdr:blipFill>
        <a:blip xmlns:r="http://schemas.openxmlformats.org/officeDocument/2006/relationships" r:embed="rId6" cstate="print"/>
        <a:srcRect/>
        <a:stretch>
          <a:fillRect/>
        </a:stretch>
      </xdr:blipFill>
      <xdr:spPr bwMode="auto">
        <a:xfrm>
          <a:off x="8467725" y="47910750"/>
          <a:ext cx="1895475" cy="1476375"/>
        </a:xfrm>
        <a:prstGeom prst="rect">
          <a:avLst/>
        </a:prstGeom>
        <a:noFill/>
        <a:ln w="1">
          <a:noFill/>
          <a:miter lim="800000"/>
          <a:headEnd/>
          <a:tailEnd/>
        </a:ln>
      </xdr:spPr>
    </xdr:pic>
    <xdr:clientData/>
  </xdr:twoCellAnchor>
  <xdr:twoCellAnchor editAs="oneCell">
    <xdr:from>
      <xdr:col>6</xdr:col>
      <xdr:colOff>457200</xdr:colOff>
      <xdr:row>355</xdr:row>
      <xdr:rowOff>85725</xdr:rowOff>
    </xdr:from>
    <xdr:to>
      <xdr:col>7</xdr:col>
      <xdr:colOff>504825</xdr:colOff>
      <xdr:row>361</xdr:row>
      <xdr:rowOff>0</xdr:rowOff>
    </xdr:to>
    <xdr:pic>
      <xdr:nvPicPr>
        <xdr:cNvPr id="112801" name="Picture 25">
          <a:hlinkClick xmlns:r="http://schemas.openxmlformats.org/officeDocument/2006/relationships" r:id="rId7"/>
        </xdr:cNvPr>
        <xdr:cNvPicPr>
          <a:picLocks noChangeAspect="1" noChangeArrowheads="1"/>
        </xdr:cNvPicPr>
      </xdr:nvPicPr>
      <xdr:blipFill>
        <a:blip xmlns:r="http://schemas.openxmlformats.org/officeDocument/2006/relationships" r:embed="rId8" cstate="print"/>
        <a:srcRect/>
        <a:stretch>
          <a:fillRect/>
        </a:stretch>
      </xdr:blipFill>
      <xdr:spPr bwMode="auto">
        <a:xfrm>
          <a:off x="8924925" y="59378850"/>
          <a:ext cx="1190625" cy="885825"/>
        </a:xfrm>
        <a:prstGeom prst="rect">
          <a:avLst/>
        </a:prstGeom>
        <a:noFill/>
        <a:ln w="1">
          <a:noFill/>
          <a:miter lim="800000"/>
          <a:headEnd/>
          <a:tailEnd/>
        </a:ln>
      </xdr:spPr>
    </xdr:pic>
    <xdr:clientData/>
  </xdr:twoCellAnchor>
  <xdr:twoCellAnchor>
    <xdr:from>
      <xdr:col>3</xdr:col>
      <xdr:colOff>495300</xdr:colOff>
      <xdr:row>415</xdr:row>
      <xdr:rowOff>19050</xdr:rowOff>
    </xdr:from>
    <xdr:to>
      <xdr:col>3</xdr:col>
      <xdr:colOff>504825</xdr:colOff>
      <xdr:row>416</xdr:row>
      <xdr:rowOff>9525</xdr:rowOff>
    </xdr:to>
    <xdr:sp macro="" textlink="">
      <xdr:nvSpPr>
        <xdr:cNvPr id="112802" name="Line 26"/>
        <xdr:cNvSpPr>
          <a:spLocks noChangeShapeType="1"/>
        </xdr:cNvSpPr>
      </xdr:nvSpPr>
      <xdr:spPr bwMode="auto">
        <a:xfrm flipH="1">
          <a:off x="5819775" y="72351900"/>
          <a:ext cx="9525" cy="152400"/>
        </a:xfrm>
        <a:prstGeom prst="line">
          <a:avLst/>
        </a:prstGeom>
        <a:noFill/>
        <a:ln w="9525">
          <a:solidFill>
            <a:srgbClr val="000000"/>
          </a:solidFill>
          <a:round/>
          <a:headEnd/>
          <a:tailEnd type="triangle" w="med" len="med"/>
        </a:ln>
      </xdr:spPr>
    </xdr:sp>
    <xdr:clientData/>
  </xdr:twoCellAnchor>
  <xdr:twoCellAnchor>
    <xdr:from>
      <xdr:col>3</xdr:col>
      <xdr:colOff>495300</xdr:colOff>
      <xdr:row>417</xdr:row>
      <xdr:rowOff>19050</xdr:rowOff>
    </xdr:from>
    <xdr:to>
      <xdr:col>3</xdr:col>
      <xdr:colOff>504825</xdr:colOff>
      <xdr:row>418</xdr:row>
      <xdr:rowOff>9525</xdr:rowOff>
    </xdr:to>
    <xdr:sp macro="" textlink="">
      <xdr:nvSpPr>
        <xdr:cNvPr id="112803" name="Line 27"/>
        <xdr:cNvSpPr>
          <a:spLocks noChangeShapeType="1"/>
        </xdr:cNvSpPr>
      </xdr:nvSpPr>
      <xdr:spPr bwMode="auto">
        <a:xfrm flipH="1">
          <a:off x="5819775" y="72675750"/>
          <a:ext cx="9525" cy="152400"/>
        </a:xfrm>
        <a:prstGeom prst="line">
          <a:avLst/>
        </a:prstGeom>
        <a:noFill/>
        <a:ln w="9525">
          <a:solidFill>
            <a:srgbClr val="000000"/>
          </a:solidFill>
          <a:round/>
          <a:headEnd/>
          <a:tailEnd type="triangle" w="med" len="med"/>
        </a:ln>
      </xdr:spPr>
    </xdr:sp>
    <xdr:clientData/>
  </xdr:twoCellAnchor>
  <xdr:twoCellAnchor>
    <xdr:from>
      <xdr:col>3</xdr:col>
      <xdr:colOff>495300</xdr:colOff>
      <xdr:row>419</xdr:row>
      <xdr:rowOff>19050</xdr:rowOff>
    </xdr:from>
    <xdr:to>
      <xdr:col>3</xdr:col>
      <xdr:colOff>504825</xdr:colOff>
      <xdr:row>420</xdr:row>
      <xdr:rowOff>9525</xdr:rowOff>
    </xdr:to>
    <xdr:sp macro="" textlink="">
      <xdr:nvSpPr>
        <xdr:cNvPr id="112804" name="Line 28"/>
        <xdr:cNvSpPr>
          <a:spLocks noChangeShapeType="1"/>
        </xdr:cNvSpPr>
      </xdr:nvSpPr>
      <xdr:spPr bwMode="auto">
        <a:xfrm flipH="1">
          <a:off x="5819775" y="72999600"/>
          <a:ext cx="9525" cy="152400"/>
        </a:xfrm>
        <a:prstGeom prst="line">
          <a:avLst/>
        </a:prstGeom>
        <a:noFill/>
        <a:ln w="9525">
          <a:solidFill>
            <a:srgbClr val="000000"/>
          </a:solidFill>
          <a:round/>
          <a:headEnd/>
          <a:tailEnd type="triangle" w="med" len="med"/>
        </a:ln>
      </xdr:spPr>
    </xdr:sp>
    <xdr:clientData/>
  </xdr:twoCellAnchor>
  <xdr:twoCellAnchor>
    <xdr:from>
      <xdr:col>3</xdr:col>
      <xdr:colOff>495300</xdr:colOff>
      <xdr:row>421</xdr:row>
      <xdr:rowOff>28575</xdr:rowOff>
    </xdr:from>
    <xdr:to>
      <xdr:col>3</xdr:col>
      <xdr:colOff>504825</xdr:colOff>
      <xdr:row>422</xdr:row>
      <xdr:rowOff>19050</xdr:rowOff>
    </xdr:to>
    <xdr:sp macro="" textlink="">
      <xdr:nvSpPr>
        <xdr:cNvPr id="112805" name="Line 29"/>
        <xdr:cNvSpPr>
          <a:spLocks noChangeShapeType="1"/>
        </xdr:cNvSpPr>
      </xdr:nvSpPr>
      <xdr:spPr bwMode="auto">
        <a:xfrm flipH="1">
          <a:off x="5819775" y="73332975"/>
          <a:ext cx="9525" cy="152400"/>
        </a:xfrm>
        <a:prstGeom prst="line">
          <a:avLst/>
        </a:prstGeom>
        <a:noFill/>
        <a:ln w="9525">
          <a:solidFill>
            <a:srgbClr val="000000"/>
          </a:solidFill>
          <a:round/>
          <a:headEnd/>
          <a:tailEnd type="triangle" w="med" len="med"/>
        </a:ln>
      </xdr:spPr>
    </xdr:sp>
    <xdr:clientData/>
  </xdr:twoCellAnchor>
  <xdr:twoCellAnchor>
    <xdr:from>
      <xdr:col>3</xdr:col>
      <xdr:colOff>495300</xdr:colOff>
      <xdr:row>423</xdr:row>
      <xdr:rowOff>0</xdr:rowOff>
    </xdr:from>
    <xdr:to>
      <xdr:col>3</xdr:col>
      <xdr:colOff>504825</xdr:colOff>
      <xdr:row>423</xdr:row>
      <xdr:rowOff>152400</xdr:rowOff>
    </xdr:to>
    <xdr:sp macro="" textlink="">
      <xdr:nvSpPr>
        <xdr:cNvPr id="112806" name="Line 30"/>
        <xdr:cNvSpPr>
          <a:spLocks noChangeShapeType="1"/>
        </xdr:cNvSpPr>
      </xdr:nvSpPr>
      <xdr:spPr bwMode="auto">
        <a:xfrm flipH="1">
          <a:off x="5819775" y="73628250"/>
          <a:ext cx="9525" cy="152400"/>
        </a:xfrm>
        <a:prstGeom prst="line">
          <a:avLst/>
        </a:prstGeom>
        <a:noFill/>
        <a:ln w="9525">
          <a:solidFill>
            <a:srgbClr val="000000"/>
          </a:solidFill>
          <a:round/>
          <a:headEnd/>
          <a:tailEnd type="triangle" w="med" len="med"/>
        </a:ln>
      </xdr:spPr>
    </xdr:sp>
    <xdr:clientData/>
  </xdr:twoCellAnchor>
  <xdr:twoCellAnchor>
    <xdr:from>
      <xdr:col>4</xdr:col>
      <xdr:colOff>638175</xdr:colOff>
      <xdr:row>413</xdr:row>
      <xdr:rowOff>142875</xdr:rowOff>
    </xdr:from>
    <xdr:to>
      <xdr:col>4</xdr:col>
      <xdr:colOff>952500</xdr:colOff>
      <xdr:row>425</xdr:row>
      <xdr:rowOff>28575</xdr:rowOff>
    </xdr:to>
    <xdr:sp macro="" textlink="">
      <xdr:nvSpPr>
        <xdr:cNvPr id="112807" name="AutoShape 31"/>
        <xdr:cNvSpPr>
          <a:spLocks/>
        </xdr:cNvSpPr>
      </xdr:nvSpPr>
      <xdr:spPr bwMode="auto">
        <a:xfrm>
          <a:off x="7010400" y="72151875"/>
          <a:ext cx="314325" cy="1828800"/>
        </a:xfrm>
        <a:prstGeom prst="rightBrace">
          <a:avLst>
            <a:gd name="adj1" fmla="val 48485"/>
            <a:gd name="adj2" fmla="val 50000"/>
          </a:avLst>
        </a:prstGeom>
        <a:noFill/>
        <a:ln w="9525">
          <a:solidFill>
            <a:srgbClr val="000000"/>
          </a:solidFill>
          <a:round/>
          <a:headEnd/>
          <a:tailEnd/>
        </a:ln>
      </xdr:spPr>
    </xdr:sp>
    <xdr:clientData/>
  </xdr:twoCellAnchor>
  <xdr:twoCellAnchor editAs="oneCell">
    <xdr:from>
      <xdr:col>5</xdr:col>
      <xdr:colOff>0</xdr:colOff>
      <xdr:row>430</xdr:row>
      <xdr:rowOff>0</xdr:rowOff>
    </xdr:from>
    <xdr:to>
      <xdr:col>6</xdr:col>
      <xdr:colOff>523874</xdr:colOff>
      <xdr:row>434</xdr:row>
      <xdr:rowOff>19051</xdr:rowOff>
    </xdr:to>
    <xdr:pic>
      <xdr:nvPicPr>
        <xdr:cNvPr id="112808" name="Picture 33" descr="weegschaal">
          <a:hlinkClick xmlns:r="http://schemas.openxmlformats.org/officeDocument/2006/relationships" r:id="rId9"/>
        </xdr:cNvPr>
        <xdr:cNvPicPr>
          <a:picLocks noChangeAspect="1" noChangeArrowheads="1"/>
        </xdr:cNvPicPr>
      </xdr:nvPicPr>
      <xdr:blipFill>
        <a:blip xmlns:r="http://schemas.openxmlformats.org/officeDocument/2006/relationships" r:embed="rId10" cstate="print"/>
        <a:srcRect/>
        <a:stretch>
          <a:fillRect/>
        </a:stretch>
      </xdr:blipFill>
      <xdr:spPr bwMode="auto">
        <a:xfrm>
          <a:off x="7419975" y="74761725"/>
          <a:ext cx="1571625" cy="666750"/>
        </a:xfrm>
        <a:prstGeom prst="rect">
          <a:avLst/>
        </a:prstGeom>
        <a:noFill/>
        <a:ln w="9525">
          <a:noFill/>
          <a:miter lim="800000"/>
          <a:headEnd/>
          <a:tailEnd/>
        </a:ln>
      </xdr:spPr>
    </xdr:pic>
    <xdr:clientData/>
  </xdr:twoCellAnchor>
  <xdr:twoCellAnchor editAs="oneCell">
    <xdr:from>
      <xdr:col>5</xdr:col>
      <xdr:colOff>314325</xdr:colOff>
      <xdr:row>501</xdr:row>
      <xdr:rowOff>104775</xdr:rowOff>
    </xdr:from>
    <xdr:to>
      <xdr:col>6</xdr:col>
      <xdr:colOff>466724</xdr:colOff>
      <xdr:row>509</xdr:row>
      <xdr:rowOff>9526</xdr:rowOff>
    </xdr:to>
    <xdr:pic>
      <xdr:nvPicPr>
        <xdr:cNvPr id="112809" name="Picture 36" descr="arbeidsovereenkomst-hh04443906-inge-yspeert">
          <a:hlinkClick xmlns:r="http://schemas.openxmlformats.org/officeDocument/2006/relationships" r:id="rId11"/>
        </xdr:cNvPr>
        <xdr:cNvPicPr>
          <a:picLocks noChangeAspect="1" noChangeArrowheads="1"/>
        </xdr:cNvPicPr>
      </xdr:nvPicPr>
      <xdr:blipFill>
        <a:blip xmlns:r="http://schemas.openxmlformats.org/officeDocument/2006/relationships" r:embed="rId12" cstate="print"/>
        <a:srcRect/>
        <a:stretch>
          <a:fillRect/>
        </a:stretch>
      </xdr:blipFill>
      <xdr:spPr bwMode="auto">
        <a:xfrm>
          <a:off x="7734300" y="86839425"/>
          <a:ext cx="1200150" cy="1200150"/>
        </a:xfrm>
        <a:prstGeom prst="rect">
          <a:avLst/>
        </a:prstGeom>
        <a:noFill/>
        <a:ln w="9525">
          <a:noFill/>
          <a:miter lim="800000"/>
          <a:headEnd/>
          <a:tailEnd/>
        </a:ln>
      </xdr:spPr>
    </xdr:pic>
    <xdr:clientData/>
  </xdr:twoCellAnchor>
  <xdr:twoCellAnchor>
    <xdr:from>
      <xdr:col>3</xdr:col>
      <xdr:colOff>276225</xdr:colOff>
      <xdr:row>522</xdr:row>
      <xdr:rowOff>28575</xdr:rowOff>
    </xdr:from>
    <xdr:to>
      <xdr:col>3</xdr:col>
      <xdr:colOff>276225</xdr:colOff>
      <xdr:row>523</xdr:row>
      <xdr:rowOff>19050</xdr:rowOff>
    </xdr:to>
    <xdr:sp macro="" textlink="">
      <xdr:nvSpPr>
        <xdr:cNvPr id="112810" name="Line 38"/>
        <xdr:cNvSpPr>
          <a:spLocks noChangeShapeType="1"/>
        </xdr:cNvSpPr>
      </xdr:nvSpPr>
      <xdr:spPr bwMode="auto">
        <a:xfrm flipH="1">
          <a:off x="5600700" y="90163650"/>
          <a:ext cx="0" cy="152400"/>
        </a:xfrm>
        <a:prstGeom prst="line">
          <a:avLst/>
        </a:prstGeom>
        <a:noFill/>
        <a:ln w="9525">
          <a:solidFill>
            <a:srgbClr val="000000"/>
          </a:solidFill>
          <a:round/>
          <a:headEnd/>
          <a:tailEnd type="triangle" w="med" len="med"/>
        </a:ln>
      </xdr:spPr>
    </xdr:sp>
    <xdr:clientData/>
  </xdr:twoCellAnchor>
  <xdr:twoCellAnchor>
    <xdr:from>
      <xdr:col>3</xdr:col>
      <xdr:colOff>276225</xdr:colOff>
      <xdr:row>524</xdr:row>
      <xdr:rowOff>19050</xdr:rowOff>
    </xdr:from>
    <xdr:to>
      <xdr:col>3</xdr:col>
      <xdr:colOff>276225</xdr:colOff>
      <xdr:row>525</xdr:row>
      <xdr:rowOff>9525</xdr:rowOff>
    </xdr:to>
    <xdr:sp macro="" textlink="">
      <xdr:nvSpPr>
        <xdr:cNvPr id="112811" name="Line 39"/>
        <xdr:cNvSpPr>
          <a:spLocks noChangeShapeType="1"/>
        </xdr:cNvSpPr>
      </xdr:nvSpPr>
      <xdr:spPr bwMode="auto">
        <a:xfrm flipH="1">
          <a:off x="5600700" y="90477975"/>
          <a:ext cx="0" cy="152400"/>
        </a:xfrm>
        <a:prstGeom prst="line">
          <a:avLst/>
        </a:prstGeom>
        <a:noFill/>
        <a:ln w="9525">
          <a:solidFill>
            <a:srgbClr val="000000"/>
          </a:solidFill>
          <a:round/>
          <a:headEnd/>
          <a:tailEnd type="triangle" w="med" len="med"/>
        </a:ln>
      </xdr:spPr>
    </xdr:sp>
    <xdr:clientData/>
  </xdr:twoCellAnchor>
  <xdr:twoCellAnchor>
    <xdr:from>
      <xdr:col>3</xdr:col>
      <xdr:colOff>276225</xdr:colOff>
      <xdr:row>526</xdr:row>
      <xdr:rowOff>9525</xdr:rowOff>
    </xdr:from>
    <xdr:to>
      <xdr:col>3</xdr:col>
      <xdr:colOff>276225</xdr:colOff>
      <xdr:row>527</xdr:row>
      <xdr:rowOff>0</xdr:rowOff>
    </xdr:to>
    <xdr:sp macro="" textlink="">
      <xdr:nvSpPr>
        <xdr:cNvPr id="112812" name="Line 40"/>
        <xdr:cNvSpPr>
          <a:spLocks noChangeShapeType="1"/>
        </xdr:cNvSpPr>
      </xdr:nvSpPr>
      <xdr:spPr bwMode="auto">
        <a:xfrm flipH="1">
          <a:off x="5600700" y="90792300"/>
          <a:ext cx="0" cy="152400"/>
        </a:xfrm>
        <a:prstGeom prst="line">
          <a:avLst/>
        </a:prstGeom>
        <a:noFill/>
        <a:ln w="9525">
          <a:solidFill>
            <a:srgbClr val="000000"/>
          </a:solidFill>
          <a:round/>
          <a:headEnd/>
          <a:tailEnd type="triangle" w="med" len="med"/>
        </a:ln>
      </xdr:spPr>
    </xdr:sp>
    <xdr:clientData/>
  </xdr:twoCellAnchor>
  <xdr:twoCellAnchor>
    <xdr:from>
      <xdr:col>3</xdr:col>
      <xdr:colOff>276225</xdr:colOff>
      <xdr:row>528</xdr:row>
      <xdr:rowOff>19050</xdr:rowOff>
    </xdr:from>
    <xdr:to>
      <xdr:col>3</xdr:col>
      <xdr:colOff>276225</xdr:colOff>
      <xdr:row>529</xdr:row>
      <xdr:rowOff>9525</xdr:rowOff>
    </xdr:to>
    <xdr:sp macro="" textlink="">
      <xdr:nvSpPr>
        <xdr:cNvPr id="112813" name="Line 41"/>
        <xdr:cNvSpPr>
          <a:spLocks noChangeShapeType="1"/>
        </xdr:cNvSpPr>
      </xdr:nvSpPr>
      <xdr:spPr bwMode="auto">
        <a:xfrm flipH="1">
          <a:off x="5600700" y="91125675"/>
          <a:ext cx="0" cy="152400"/>
        </a:xfrm>
        <a:prstGeom prst="line">
          <a:avLst/>
        </a:prstGeom>
        <a:noFill/>
        <a:ln w="9525">
          <a:solidFill>
            <a:srgbClr val="000000"/>
          </a:solidFill>
          <a:round/>
          <a:headEnd/>
          <a:tailEnd type="triangle" w="med" len="med"/>
        </a:ln>
      </xdr:spPr>
    </xdr:sp>
    <xdr:clientData/>
  </xdr:twoCellAnchor>
  <xdr:twoCellAnchor>
    <xdr:from>
      <xdr:col>3</xdr:col>
      <xdr:colOff>276225</xdr:colOff>
      <xdr:row>530</xdr:row>
      <xdr:rowOff>9525</xdr:rowOff>
    </xdr:from>
    <xdr:to>
      <xdr:col>3</xdr:col>
      <xdr:colOff>276225</xdr:colOff>
      <xdr:row>531</xdr:row>
      <xdr:rowOff>0</xdr:rowOff>
    </xdr:to>
    <xdr:sp macro="" textlink="">
      <xdr:nvSpPr>
        <xdr:cNvPr id="112814" name="Line 42"/>
        <xdr:cNvSpPr>
          <a:spLocks noChangeShapeType="1"/>
        </xdr:cNvSpPr>
      </xdr:nvSpPr>
      <xdr:spPr bwMode="auto">
        <a:xfrm flipH="1">
          <a:off x="5600700" y="91440000"/>
          <a:ext cx="0" cy="152400"/>
        </a:xfrm>
        <a:prstGeom prst="line">
          <a:avLst/>
        </a:prstGeom>
        <a:noFill/>
        <a:ln w="9525">
          <a:solidFill>
            <a:srgbClr val="000000"/>
          </a:solidFill>
          <a:round/>
          <a:headEnd/>
          <a:tailEnd type="triangle" w="med" len="med"/>
        </a:ln>
      </xdr:spPr>
    </xdr:sp>
    <xdr:clientData/>
  </xdr:twoCellAnchor>
  <xdr:twoCellAnchor>
    <xdr:from>
      <xdr:col>3</xdr:col>
      <xdr:colOff>276225</xdr:colOff>
      <xdr:row>532</xdr:row>
      <xdr:rowOff>19050</xdr:rowOff>
    </xdr:from>
    <xdr:to>
      <xdr:col>3</xdr:col>
      <xdr:colOff>276225</xdr:colOff>
      <xdr:row>533</xdr:row>
      <xdr:rowOff>19050</xdr:rowOff>
    </xdr:to>
    <xdr:sp macro="" textlink="">
      <xdr:nvSpPr>
        <xdr:cNvPr id="112815" name="Line 43"/>
        <xdr:cNvSpPr>
          <a:spLocks noChangeShapeType="1"/>
        </xdr:cNvSpPr>
      </xdr:nvSpPr>
      <xdr:spPr bwMode="auto">
        <a:xfrm flipH="1">
          <a:off x="5600700" y="91773375"/>
          <a:ext cx="0" cy="161925"/>
        </a:xfrm>
        <a:prstGeom prst="line">
          <a:avLst/>
        </a:prstGeom>
        <a:noFill/>
        <a:ln w="9525">
          <a:solidFill>
            <a:srgbClr val="000000"/>
          </a:solidFill>
          <a:round/>
          <a:headEnd/>
          <a:tailEnd type="triangle" w="med" len="med"/>
        </a:ln>
      </xdr:spPr>
    </xdr:sp>
    <xdr:clientData/>
  </xdr:twoCellAnchor>
  <xdr:twoCellAnchor>
    <xdr:from>
      <xdr:col>3</xdr:col>
      <xdr:colOff>266700</xdr:colOff>
      <xdr:row>534</xdr:row>
      <xdr:rowOff>19050</xdr:rowOff>
    </xdr:from>
    <xdr:to>
      <xdr:col>3</xdr:col>
      <xdr:colOff>276225</xdr:colOff>
      <xdr:row>535</xdr:row>
      <xdr:rowOff>9525</xdr:rowOff>
    </xdr:to>
    <xdr:sp macro="" textlink="">
      <xdr:nvSpPr>
        <xdr:cNvPr id="112816" name="Line 44"/>
        <xdr:cNvSpPr>
          <a:spLocks noChangeShapeType="1"/>
        </xdr:cNvSpPr>
      </xdr:nvSpPr>
      <xdr:spPr bwMode="auto">
        <a:xfrm flipH="1">
          <a:off x="5591175" y="92097225"/>
          <a:ext cx="9525" cy="152400"/>
        </a:xfrm>
        <a:prstGeom prst="line">
          <a:avLst/>
        </a:prstGeom>
        <a:noFill/>
        <a:ln w="9525">
          <a:solidFill>
            <a:srgbClr val="000000"/>
          </a:solidFill>
          <a:round/>
          <a:headEnd/>
          <a:tailEnd type="triangle" w="med" len="med"/>
        </a:ln>
      </xdr:spPr>
    </xdr:sp>
    <xdr:clientData/>
  </xdr:twoCellAnchor>
  <xdr:twoCellAnchor>
    <xdr:from>
      <xdr:col>3</xdr:col>
      <xdr:colOff>266700</xdr:colOff>
      <xdr:row>526</xdr:row>
      <xdr:rowOff>19050</xdr:rowOff>
    </xdr:from>
    <xdr:to>
      <xdr:col>3</xdr:col>
      <xdr:colOff>276225</xdr:colOff>
      <xdr:row>527</xdr:row>
      <xdr:rowOff>9525</xdr:rowOff>
    </xdr:to>
    <xdr:sp macro="" textlink="">
      <xdr:nvSpPr>
        <xdr:cNvPr id="112817" name="Line 45"/>
        <xdr:cNvSpPr>
          <a:spLocks noChangeShapeType="1"/>
        </xdr:cNvSpPr>
      </xdr:nvSpPr>
      <xdr:spPr bwMode="auto">
        <a:xfrm flipH="1">
          <a:off x="5591175" y="90801825"/>
          <a:ext cx="9525" cy="152400"/>
        </a:xfrm>
        <a:prstGeom prst="line">
          <a:avLst/>
        </a:prstGeom>
        <a:noFill/>
        <a:ln w="9525">
          <a:solidFill>
            <a:srgbClr val="000000"/>
          </a:solidFill>
          <a:round/>
          <a:headEnd/>
          <a:tailEnd type="triangle" w="med" len="med"/>
        </a:ln>
      </xdr:spPr>
    </xdr:sp>
    <xdr:clientData/>
  </xdr:twoCellAnchor>
  <xdr:twoCellAnchor>
    <xdr:from>
      <xdr:col>3</xdr:col>
      <xdr:colOff>266700</xdr:colOff>
      <xdr:row>526</xdr:row>
      <xdr:rowOff>19050</xdr:rowOff>
    </xdr:from>
    <xdr:to>
      <xdr:col>3</xdr:col>
      <xdr:colOff>276225</xdr:colOff>
      <xdr:row>527</xdr:row>
      <xdr:rowOff>9525</xdr:rowOff>
    </xdr:to>
    <xdr:sp macro="" textlink="">
      <xdr:nvSpPr>
        <xdr:cNvPr id="112818" name="Line 46"/>
        <xdr:cNvSpPr>
          <a:spLocks noChangeShapeType="1"/>
        </xdr:cNvSpPr>
      </xdr:nvSpPr>
      <xdr:spPr bwMode="auto">
        <a:xfrm flipH="1">
          <a:off x="5591175" y="90801825"/>
          <a:ext cx="9525" cy="152400"/>
        </a:xfrm>
        <a:prstGeom prst="line">
          <a:avLst/>
        </a:prstGeom>
        <a:noFill/>
        <a:ln w="9525">
          <a:solidFill>
            <a:srgbClr val="000000"/>
          </a:solidFill>
          <a:round/>
          <a:headEnd/>
          <a:tailEnd type="triangle" w="med" len="med"/>
        </a:ln>
      </xdr:spPr>
    </xdr:sp>
    <xdr:clientData/>
  </xdr:twoCellAnchor>
  <xdr:twoCellAnchor editAs="oneCell">
    <xdr:from>
      <xdr:col>5</xdr:col>
      <xdr:colOff>85725</xdr:colOff>
      <xdr:row>523</xdr:row>
      <xdr:rowOff>123825</xdr:rowOff>
    </xdr:from>
    <xdr:to>
      <xdr:col>6</xdr:col>
      <xdr:colOff>962024</xdr:colOff>
      <xdr:row>532</xdr:row>
      <xdr:rowOff>78685</xdr:rowOff>
    </xdr:to>
    <xdr:pic>
      <xdr:nvPicPr>
        <xdr:cNvPr id="112819" name="rg_hi" descr="ANd9GcTyH9s8BykkFWZPBCUfCfS81to4OCWawVk0EWJJbcySG4m_r3SOVw">
          <a:hlinkClick xmlns:r="http://schemas.openxmlformats.org/officeDocument/2006/relationships" r:id="rId13"/>
        </xdr:cNvPr>
        <xdr:cNvPicPr>
          <a:picLocks noChangeAspect="1" noChangeArrowheads="1"/>
        </xdr:cNvPicPr>
      </xdr:nvPicPr>
      <xdr:blipFill>
        <a:blip xmlns:r="http://schemas.openxmlformats.org/officeDocument/2006/relationships" r:embed="rId14" cstate="print"/>
        <a:srcRect/>
        <a:stretch>
          <a:fillRect/>
        </a:stretch>
      </xdr:blipFill>
      <xdr:spPr bwMode="auto">
        <a:xfrm>
          <a:off x="7505700" y="90420825"/>
          <a:ext cx="1924050" cy="1428750"/>
        </a:xfrm>
        <a:prstGeom prst="rect">
          <a:avLst/>
        </a:prstGeom>
        <a:noFill/>
        <a:ln w="9525">
          <a:noFill/>
          <a:miter lim="800000"/>
          <a:headEnd/>
          <a:tailEnd/>
        </a:ln>
      </xdr:spPr>
    </xdr:pic>
    <xdr:clientData/>
  </xdr:twoCellAnchor>
  <xdr:twoCellAnchor>
    <xdr:from>
      <xdr:col>5</xdr:col>
      <xdr:colOff>514350</xdr:colOff>
      <xdr:row>565</xdr:row>
      <xdr:rowOff>38100</xdr:rowOff>
    </xdr:from>
    <xdr:to>
      <xdr:col>5</xdr:col>
      <xdr:colOff>514350</xdr:colOff>
      <xdr:row>569</xdr:row>
      <xdr:rowOff>114300</xdr:rowOff>
    </xdr:to>
    <xdr:sp macro="" textlink="">
      <xdr:nvSpPr>
        <xdr:cNvPr id="112820" name="Line 48"/>
        <xdr:cNvSpPr>
          <a:spLocks noChangeShapeType="1"/>
        </xdr:cNvSpPr>
      </xdr:nvSpPr>
      <xdr:spPr bwMode="auto">
        <a:xfrm>
          <a:off x="7934325" y="97155000"/>
          <a:ext cx="0" cy="723900"/>
        </a:xfrm>
        <a:prstGeom prst="line">
          <a:avLst/>
        </a:prstGeom>
        <a:noFill/>
        <a:ln w="9525">
          <a:solidFill>
            <a:srgbClr val="000000"/>
          </a:solidFill>
          <a:round/>
          <a:headEnd/>
          <a:tailEnd type="triangle" w="med" len="med"/>
        </a:ln>
      </xdr:spPr>
    </xdr:sp>
    <xdr:clientData/>
  </xdr:twoCellAnchor>
  <xdr:twoCellAnchor>
    <xdr:from>
      <xdr:col>5</xdr:col>
      <xdr:colOff>533400</xdr:colOff>
      <xdr:row>571</xdr:row>
      <xdr:rowOff>47625</xdr:rowOff>
    </xdr:from>
    <xdr:to>
      <xdr:col>5</xdr:col>
      <xdr:colOff>533400</xdr:colOff>
      <xdr:row>572</xdr:row>
      <xdr:rowOff>38100</xdr:rowOff>
    </xdr:to>
    <xdr:sp macro="" textlink="">
      <xdr:nvSpPr>
        <xdr:cNvPr id="112821" name="Line 49"/>
        <xdr:cNvSpPr>
          <a:spLocks noChangeShapeType="1"/>
        </xdr:cNvSpPr>
      </xdr:nvSpPr>
      <xdr:spPr bwMode="auto">
        <a:xfrm>
          <a:off x="7953375" y="98136075"/>
          <a:ext cx="0" cy="152400"/>
        </a:xfrm>
        <a:prstGeom prst="line">
          <a:avLst/>
        </a:prstGeom>
        <a:noFill/>
        <a:ln w="9525">
          <a:solidFill>
            <a:srgbClr val="000000"/>
          </a:solidFill>
          <a:round/>
          <a:headEnd/>
          <a:tailEnd type="triangle" w="med" len="med"/>
        </a:ln>
      </xdr:spPr>
    </xdr:sp>
    <xdr:clientData/>
  </xdr:twoCellAnchor>
  <xdr:twoCellAnchor>
    <xdr:from>
      <xdr:col>5</xdr:col>
      <xdr:colOff>152400</xdr:colOff>
      <xdr:row>568</xdr:row>
      <xdr:rowOff>85725</xdr:rowOff>
    </xdr:from>
    <xdr:to>
      <xdr:col>5</xdr:col>
      <xdr:colOff>914400</xdr:colOff>
      <xdr:row>568</xdr:row>
      <xdr:rowOff>85725</xdr:rowOff>
    </xdr:to>
    <xdr:sp macro="" textlink="">
      <xdr:nvSpPr>
        <xdr:cNvPr id="112822" name="Line 50"/>
        <xdr:cNvSpPr>
          <a:spLocks noChangeShapeType="1"/>
        </xdr:cNvSpPr>
      </xdr:nvSpPr>
      <xdr:spPr bwMode="auto">
        <a:xfrm>
          <a:off x="7572375" y="97688400"/>
          <a:ext cx="762000" cy="0"/>
        </a:xfrm>
        <a:prstGeom prst="line">
          <a:avLst/>
        </a:prstGeom>
        <a:noFill/>
        <a:ln w="9525">
          <a:solidFill>
            <a:srgbClr val="000000"/>
          </a:solidFill>
          <a:round/>
          <a:headEnd type="triangle" w="med" len="med"/>
          <a:tailEnd type="triangle" w="med" len="med"/>
        </a:ln>
      </xdr:spPr>
    </xdr:sp>
    <xdr:clientData/>
  </xdr:twoCellAnchor>
  <xdr:twoCellAnchor>
    <xdr:from>
      <xdr:col>3</xdr:col>
      <xdr:colOff>695325</xdr:colOff>
      <xdr:row>572</xdr:row>
      <xdr:rowOff>66675</xdr:rowOff>
    </xdr:from>
    <xdr:to>
      <xdr:col>3</xdr:col>
      <xdr:colOff>962025</xdr:colOff>
      <xdr:row>572</xdr:row>
      <xdr:rowOff>66675</xdr:rowOff>
    </xdr:to>
    <xdr:sp macro="" textlink="">
      <xdr:nvSpPr>
        <xdr:cNvPr id="112823" name="Line 53"/>
        <xdr:cNvSpPr>
          <a:spLocks noChangeShapeType="1"/>
        </xdr:cNvSpPr>
      </xdr:nvSpPr>
      <xdr:spPr bwMode="auto">
        <a:xfrm flipH="1">
          <a:off x="6019800" y="98317050"/>
          <a:ext cx="266700" cy="0"/>
        </a:xfrm>
        <a:prstGeom prst="line">
          <a:avLst/>
        </a:prstGeom>
        <a:noFill/>
        <a:ln w="9525">
          <a:solidFill>
            <a:srgbClr val="000000"/>
          </a:solidFill>
          <a:round/>
          <a:headEnd/>
          <a:tailEnd/>
        </a:ln>
      </xdr:spPr>
    </xdr:sp>
    <xdr:clientData/>
  </xdr:twoCellAnchor>
  <xdr:twoCellAnchor>
    <xdr:from>
      <xdr:col>3</xdr:col>
      <xdr:colOff>695325</xdr:colOff>
      <xdr:row>566</xdr:row>
      <xdr:rowOff>114300</xdr:rowOff>
    </xdr:from>
    <xdr:to>
      <xdr:col>3</xdr:col>
      <xdr:colOff>695325</xdr:colOff>
      <xdr:row>572</xdr:row>
      <xdr:rowOff>57150</xdr:rowOff>
    </xdr:to>
    <xdr:sp macro="" textlink="">
      <xdr:nvSpPr>
        <xdr:cNvPr id="112824" name="Line 54"/>
        <xdr:cNvSpPr>
          <a:spLocks noChangeShapeType="1"/>
        </xdr:cNvSpPr>
      </xdr:nvSpPr>
      <xdr:spPr bwMode="auto">
        <a:xfrm flipV="1">
          <a:off x="6019800" y="97393125"/>
          <a:ext cx="0" cy="914400"/>
        </a:xfrm>
        <a:prstGeom prst="line">
          <a:avLst/>
        </a:prstGeom>
        <a:noFill/>
        <a:ln w="9525">
          <a:solidFill>
            <a:srgbClr val="000000"/>
          </a:solidFill>
          <a:round/>
          <a:headEnd/>
          <a:tailEnd/>
        </a:ln>
      </xdr:spPr>
    </xdr:sp>
    <xdr:clientData/>
  </xdr:twoCellAnchor>
  <xdr:twoCellAnchor>
    <xdr:from>
      <xdr:col>3</xdr:col>
      <xdr:colOff>695325</xdr:colOff>
      <xdr:row>566</xdr:row>
      <xdr:rowOff>114300</xdr:rowOff>
    </xdr:from>
    <xdr:to>
      <xdr:col>3</xdr:col>
      <xdr:colOff>981075</xdr:colOff>
      <xdr:row>566</xdr:row>
      <xdr:rowOff>114300</xdr:rowOff>
    </xdr:to>
    <xdr:sp macro="" textlink="">
      <xdr:nvSpPr>
        <xdr:cNvPr id="112825" name="Line 55"/>
        <xdr:cNvSpPr>
          <a:spLocks noChangeShapeType="1"/>
        </xdr:cNvSpPr>
      </xdr:nvSpPr>
      <xdr:spPr bwMode="auto">
        <a:xfrm>
          <a:off x="6019800" y="97393125"/>
          <a:ext cx="285750" cy="0"/>
        </a:xfrm>
        <a:prstGeom prst="line">
          <a:avLst/>
        </a:prstGeom>
        <a:noFill/>
        <a:ln w="9525">
          <a:solidFill>
            <a:srgbClr val="000000"/>
          </a:solidFill>
          <a:round/>
          <a:headEnd/>
          <a:tailEnd type="triangle" w="med" len="med"/>
        </a:ln>
      </xdr:spPr>
    </xdr:sp>
    <xdr:clientData/>
  </xdr:twoCellAnchor>
  <xdr:twoCellAnchor>
    <xdr:from>
      <xdr:col>3</xdr:col>
      <xdr:colOff>866775</xdr:colOff>
      <xdr:row>587</xdr:row>
      <xdr:rowOff>66675</xdr:rowOff>
    </xdr:from>
    <xdr:to>
      <xdr:col>7</xdr:col>
      <xdr:colOff>238125</xdr:colOff>
      <xdr:row>596</xdr:row>
      <xdr:rowOff>85725</xdr:rowOff>
    </xdr:to>
    <xdr:sp macro="" textlink="">
      <xdr:nvSpPr>
        <xdr:cNvPr id="112826" name="AutoShape 56"/>
        <xdr:cNvSpPr>
          <a:spLocks noChangeArrowheads="1"/>
        </xdr:cNvSpPr>
      </xdr:nvSpPr>
      <xdr:spPr bwMode="auto">
        <a:xfrm>
          <a:off x="6191250" y="100926900"/>
          <a:ext cx="3657600" cy="1476375"/>
        </a:xfrm>
        <a:prstGeom prst="triangle">
          <a:avLst>
            <a:gd name="adj" fmla="val 50000"/>
          </a:avLst>
        </a:prstGeom>
        <a:noFill/>
        <a:ln w="9525">
          <a:solidFill>
            <a:srgbClr val="000000"/>
          </a:solidFill>
          <a:miter lim="800000"/>
          <a:headEnd/>
          <a:tailEnd/>
        </a:ln>
      </xdr:spPr>
    </xdr:sp>
    <xdr:clientData/>
  </xdr:twoCellAnchor>
  <xdr:twoCellAnchor>
    <xdr:from>
      <xdr:col>3</xdr:col>
      <xdr:colOff>771525</xdr:colOff>
      <xdr:row>587</xdr:row>
      <xdr:rowOff>114300</xdr:rowOff>
    </xdr:from>
    <xdr:to>
      <xdr:col>3</xdr:col>
      <xdr:colOff>771525</xdr:colOff>
      <xdr:row>596</xdr:row>
      <xdr:rowOff>104775</xdr:rowOff>
    </xdr:to>
    <xdr:sp macro="" textlink="">
      <xdr:nvSpPr>
        <xdr:cNvPr id="112827" name="Line 58"/>
        <xdr:cNvSpPr>
          <a:spLocks noChangeShapeType="1"/>
        </xdr:cNvSpPr>
      </xdr:nvSpPr>
      <xdr:spPr bwMode="auto">
        <a:xfrm flipV="1">
          <a:off x="6096000" y="100974525"/>
          <a:ext cx="0" cy="1447800"/>
        </a:xfrm>
        <a:prstGeom prst="line">
          <a:avLst/>
        </a:prstGeom>
        <a:noFill/>
        <a:ln w="9525">
          <a:solidFill>
            <a:srgbClr val="000000"/>
          </a:solidFill>
          <a:round/>
          <a:headEnd/>
          <a:tailEnd type="triangle" w="med" len="med"/>
        </a:ln>
      </xdr:spPr>
    </xdr:sp>
    <xdr:clientData/>
  </xdr:twoCellAnchor>
  <xdr:twoCellAnchor>
    <xdr:from>
      <xdr:col>5</xdr:col>
      <xdr:colOff>76200</xdr:colOff>
      <xdr:row>625</xdr:row>
      <xdr:rowOff>85725</xdr:rowOff>
    </xdr:from>
    <xdr:to>
      <xdr:col>5</xdr:col>
      <xdr:colOff>942975</xdr:colOff>
      <xdr:row>625</xdr:row>
      <xdr:rowOff>85725</xdr:rowOff>
    </xdr:to>
    <xdr:sp macro="" textlink="">
      <xdr:nvSpPr>
        <xdr:cNvPr id="112828" name="Line 59"/>
        <xdr:cNvSpPr>
          <a:spLocks noChangeShapeType="1"/>
        </xdr:cNvSpPr>
      </xdr:nvSpPr>
      <xdr:spPr bwMode="auto">
        <a:xfrm>
          <a:off x="7496175" y="107270550"/>
          <a:ext cx="866775" cy="0"/>
        </a:xfrm>
        <a:prstGeom prst="line">
          <a:avLst/>
        </a:prstGeom>
        <a:noFill/>
        <a:ln w="9525">
          <a:solidFill>
            <a:srgbClr val="000000"/>
          </a:solidFill>
          <a:round/>
          <a:headEnd/>
          <a:tailEnd type="triangle" w="med" len="med"/>
        </a:ln>
      </xdr:spPr>
    </xdr:sp>
    <xdr:clientData/>
  </xdr:twoCellAnchor>
  <xdr:twoCellAnchor>
    <xdr:from>
      <xdr:col>5</xdr:col>
      <xdr:colOff>85725</xdr:colOff>
      <xdr:row>624</xdr:row>
      <xdr:rowOff>104775</xdr:rowOff>
    </xdr:from>
    <xdr:to>
      <xdr:col>5</xdr:col>
      <xdr:colOff>952500</xdr:colOff>
      <xdr:row>624</xdr:row>
      <xdr:rowOff>104775</xdr:rowOff>
    </xdr:to>
    <xdr:sp macro="" textlink="">
      <xdr:nvSpPr>
        <xdr:cNvPr id="112829" name="Line 60"/>
        <xdr:cNvSpPr>
          <a:spLocks noChangeShapeType="1"/>
        </xdr:cNvSpPr>
      </xdr:nvSpPr>
      <xdr:spPr bwMode="auto">
        <a:xfrm>
          <a:off x="7505700" y="107127675"/>
          <a:ext cx="866775" cy="0"/>
        </a:xfrm>
        <a:prstGeom prst="line">
          <a:avLst/>
        </a:prstGeom>
        <a:noFill/>
        <a:ln w="9525">
          <a:solidFill>
            <a:srgbClr val="000000"/>
          </a:solidFill>
          <a:round/>
          <a:headEnd/>
          <a:tailEnd type="triangle" w="med" len="med"/>
        </a:ln>
      </xdr:spPr>
    </xdr:sp>
    <xdr:clientData/>
  </xdr:twoCellAnchor>
  <xdr:twoCellAnchor editAs="oneCell">
    <xdr:from>
      <xdr:col>6</xdr:col>
      <xdr:colOff>114300</xdr:colOff>
      <xdr:row>544</xdr:row>
      <xdr:rowOff>85725</xdr:rowOff>
    </xdr:from>
    <xdr:to>
      <xdr:col>7</xdr:col>
      <xdr:colOff>161925</xdr:colOff>
      <xdr:row>550</xdr:row>
      <xdr:rowOff>0</xdr:rowOff>
    </xdr:to>
    <xdr:pic>
      <xdr:nvPicPr>
        <xdr:cNvPr id="112830" name="Picture 62">
          <a:hlinkClick xmlns:r="http://schemas.openxmlformats.org/officeDocument/2006/relationships" r:id="rId15"/>
        </xdr:cNvPr>
        <xdr:cNvPicPr>
          <a:picLocks noChangeAspect="1" noChangeArrowheads="1"/>
        </xdr:cNvPicPr>
      </xdr:nvPicPr>
      <xdr:blipFill>
        <a:blip xmlns:r="http://schemas.openxmlformats.org/officeDocument/2006/relationships" r:embed="rId8" cstate="print"/>
        <a:srcRect/>
        <a:stretch>
          <a:fillRect/>
        </a:stretch>
      </xdr:blipFill>
      <xdr:spPr bwMode="auto">
        <a:xfrm>
          <a:off x="8582025" y="93802200"/>
          <a:ext cx="1190625" cy="885825"/>
        </a:xfrm>
        <a:prstGeom prst="rect">
          <a:avLst/>
        </a:prstGeom>
        <a:noFill/>
        <a:ln w="1">
          <a:noFill/>
          <a:miter lim="800000"/>
          <a:headEnd/>
          <a:tailEnd/>
        </a:ln>
      </xdr:spPr>
    </xdr:pic>
    <xdr:clientData/>
  </xdr:twoCellAnchor>
  <xdr:twoCellAnchor editAs="oneCell">
    <xdr:from>
      <xdr:col>5</xdr:col>
      <xdr:colOff>0</xdr:colOff>
      <xdr:row>637</xdr:row>
      <xdr:rowOff>0</xdr:rowOff>
    </xdr:from>
    <xdr:to>
      <xdr:col>5</xdr:col>
      <xdr:colOff>533400</xdr:colOff>
      <xdr:row>641</xdr:row>
      <xdr:rowOff>85725</xdr:rowOff>
    </xdr:to>
    <xdr:pic>
      <xdr:nvPicPr>
        <xdr:cNvPr id="112831" name="Picture 63" descr="Roepende">
          <a:hlinkClick xmlns:r="http://schemas.openxmlformats.org/officeDocument/2006/relationships" r:id="rId16"/>
        </xdr:cNvPr>
        <xdr:cNvPicPr>
          <a:picLocks noChangeAspect="1" noChangeArrowheads="1"/>
        </xdr:cNvPicPr>
      </xdr:nvPicPr>
      <xdr:blipFill>
        <a:blip xmlns:r="http://schemas.openxmlformats.org/officeDocument/2006/relationships" r:embed="rId17" cstate="print"/>
        <a:srcRect/>
        <a:stretch>
          <a:fillRect/>
        </a:stretch>
      </xdr:blipFill>
      <xdr:spPr bwMode="auto">
        <a:xfrm>
          <a:off x="7419975" y="109127925"/>
          <a:ext cx="533400" cy="733425"/>
        </a:xfrm>
        <a:prstGeom prst="rect">
          <a:avLst/>
        </a:prstGeom>
        <a:noFill/>
        <a:ln w="9525">
          <a:noFill/>
          <a:miter lim="800000"/>
          <a:headEnd/>
          <a:tailEnd/>
        </a:ln>
      </xdr:spPr>
    </xdr:pic>
    <xdr:clientData/>
  </xdr:twoCellAnchor>
  <xdr:twoCellAnchor editAs="oneCell">
    <xdr:from>
      <xdr:col>5</xdr:col>
      <xdr:colOff>638175</xdr:colOff>
      <xdr:row>805</xdr:row>
      <xdr:rowOff>28575</xdr:rowOff>
    </xdr:from>
    <xdr:to>
      <xdr:col>7</xdr:col>
      <xdr:colOff>247649</xdr:colOff>
      <xdr:row>811</xdr:row>
      <xdr:rowOff>66675</xdr:rowOff>
    </xdr:to>
    <xdr:pic>
      <xdr:nvPicPr>
        <xdr:cNvPr id="112832" name="Picture 64" descr="001_pc-evolutie">
          <a:hlinkClick xmlns:r="http://schemas.openxmlformats.org/officeDocument/2006/relationships" r:id="rId18"/>
        </xdr:cNvPr>
        <xdr:cNvPicPr>
          <a:picLocks noChangeAspect="1" noChangeArrowheads="1"/>
        </xdr:cNvPicPr>
      </xdr:nvPicPr>
      <xdr:blipFill>
        <a:blip xmlns:r="http://schemas.openxmlformats.org/officeDocument/2006/relationships" r:embed="rId19" cstate="print"/>
        <a:srcRect/>
        <a:stretch>
          <a:fillRect/>
        </a:stretch>
      </xdr:blipFill>
      <xdr:spPr bwMode="auto">
        <a:xfrm>
          <a:off x="8058150" y="130987800"/>
          <a:ext cx="1800225" cy="1009650"/>
        </a:xfrm>
        <a:prstGeom prst="rect">
          <a:avLst/>
        </a:prstGeom>
        <a:noFill/>
        <a:ln w="9525">
          <a:noFill/>
          <a:miter lim="800000"/>
          <a:headEnd/>
          <a:tailEnd/>
        </a:ln>
      </xdr:spPr>
    </xdr:pic>
    <xdr:clientData/>
  </xdr:twoCellAnchor>
  <xdr:twoCellAnchor>
    <xdr:from>
      <xdr:col>4</xdr:col>
      <xdr:colOff>533400</xdr:colOff>
      <xdr:row>818</xdr:row>
      <xdr:rowOff>19050</xdr:rowOff>
    </xdr:from>
    <xdr:to>
      <xdr:col>4</xdr:col>
      <xdr:colOff>1009650</xdr:colOff>
      <xdr:row>818</xdr:row>
      <xdr:rowOff>133350</xdr:rowOff>
    </xdr:to>
    <xdr:sp macro="" textlink="">
      <xdr:nvSpPr>
        <xdr:cNvPr id="112833" name="Line 65"/>
        <xdr:cNvSpPr>
          <a:spLocks noChangeShapeType="1"/>
        </xdr:cNvSpPr>
      </xdr:nvSpPr>
      <xdr:spPr bwMode="auto">
        <a:xfrm flipH="1">
          <a:off x="6905625" y="133083300"/>
          <a:ext cx="476250" cy="114300"/>
        </a:xfrm>
        <a:prstGeom prst="line">
          <a:avLst/>
        </a:prstGeom>
        <a:noFill/>
        <a:ln w="9525">
          <a:solidFill>
            <a:srgbClr val="000000"/>
          </a:solidFill>
          <a:round/>
          <a:headEnd/>
          <a:tailEnd type="triangle" w="med" len="med"/>
        </a:ln>
      </xdr:spPr>
    </xdr:sp>
    <xdr:clientData/>
  </xdr:twoCellAnchor>
  <xdr:twoCellAnchor>
    <xdr:from>
      <xdr:col>5</xdr:col>
      <xdr:colOff>600075</xdr:colOff>
      <xdr:row>818</xdr:row>
      <xdr:rowOff>19050</xdr:rowOff>
    </xdr:from>
    <xdr:to>
      <xdr:col>5</xdr:col>
      <xdr:colOff>1000125</xdr:colOff>
      <xdr:row>818</xdr:row>
      <xdr:rowOff>142875</xdr:rowOff>
    </xdr:to>
    <xdr:sp macro="" textlink="">
      <xdr:nvSpPr>
        <xdr:cNvPr id="112834" name="Line 66"/>
        <xdr:cNvSpPr>
          <a:spLocks noChangeShapeType="1"/>
        </xdr:cNvSpPr>
      </xdr:nvSpPr>
      <xdr:spPr bwMode="auto">
        <a:xfrm>
          <a:off x="8020050" y="133083300"/>
          <a:ext cx="400050" cy="123825"/>
        </a:xfrm>
        <a:prstGeom prst="line">
          <a:avLst/>
        </a:prstGeom>
        <a:noFill/>
        <a:ln w="9525">
          <a:solidFill>
            <a:srgbClr val="000000"/>
          </a:solidFill>
          <a:round/>
          <a:headEnd/>
          <a:tailEnd type="triangle" w="med" len="med"/>
        </a:ln>
      </xdr:spPr>
    </xdr:sp>
    <xdr:clientData/>
  </xdr:twoCellAnchor>
  <xdr:twoCellAnchor>
    <xdr:from>
      <xdr:col>6</xdr:col>
      <xdr:colOff>57150</xdr:colOff>
      <xdr:row>820</xdr:row>
      <xdr:rowOff>57150</xdr:rowOff>
    </xdr:from>
    <xdr:to>
      <xdr:col>6</xdr:col>
      <xdr:colOff>600075</xdr:colOff>
      <xdr:row>821</xdr:row>
      <xdr:rowOff>19050</xdr:rowOff>
    </xdr:to>
    <xdr:sp macro="" textlink="">
      <xdr:nvSpPr>
        <xdr:cNvPr id="112835" name="Line 67"/>
        <xdr:cNvSpPr>
          <a:spLocks noChangeShapeType="1"/>
        </xdr:cNvSpPr>
      </xdr:nvSpPr>
      <xdr:spPr bwMode="auto">
        <a:xfrm flipH="1">
          <a:off x="8524875" y="133445250"/>
          <a:ext cx="542925" cy="123825"/>
        </a:xfrm>
        <a:prstGeom prst="line">
          <a:avLst/>
        </a:prstGeom>
        <a:noFill/>
        <a:ln w="9525">
          <a:solidFill>
            <a:srgbClr val="000000"/>
          </a:solidFill>
          <a:round/>
          <a:headEnd/>
          <a:tailEnd type="triangle" w="med" len="med"/>
        </a:ln>
      </xdr:spPr>
    </xdr:sp>
    <xdr:clientData/>
  </xdr:twoCellAnchor>
  <xdr:twoCellAnchor>
    <xdr:from>
      <xdr:col>6</xdr:col>
      <xdr:colOff>609600</xdr:colOff>
      <xdr:row>820</xdr:row>
      <xdr:rowOff>57150</xdr:rowOff>
    </xdr:from>
    <xdr:to>
      <xdr:col>6</xdr:col>
      <xdr:colOff>1114425</xdr:colOff>
      <xdr:row>821</xdr:row>
      <xdr:rowOff>38100</xdr:rowOff>
    </xdr:to>
    <xdr:sp macro="" textlink="">
      <xdr:nvSpPr>
        <xdr:cNvPr id="112836" name="Line 68"/>
        <xdr:cNvSpPr>
          <a:spLocks noChangeShapeType="1"/>
        </xdr:cNvSpPr>
      </xdr:nvSpPr>
      <xdr:spPr bwMode="auto">
        <a:xfrm>
          <a:off x="9077325" y="133445250"/>
          <a:ext cx="504825" cy="142875"/>
        </a:xfrm>
        <a:prstGeom prst="line">
          <a:avLst/>
        </a:prstGeom>
        <a:noFill/>
        <a:ln w="9525">
          <a:solidFill>
            <a:srgbClr val="000000"/>
          </a:solidFill>
          <a:round/>
          <a:headEnd/>
          <a:tailEnd type="triangle" w="med" len="med"/>
        </a:ln>
      </xdr:spPr>
    </xdr:sp>
    <xdr:clientData/>
  </xdr:twoCellAnchor>
  <xdr:twoCellAnchor editAs="oneCell">
    <xdr:from>
      <xdr:col>5</xdr:col>
      <xdr:colOff>0</xdr:colOff>
      <xdr:row>884</xdr:row>
      <xdr:rowOff>0</xdr:rowOff>
    </xdr:from>
    <xdr:to>
      <xdr:col>5</xdr:col>
      <xdr:colOff>371475</xdr:colOff>
      <xdr:row>889</xdr:row>
      <xdr:rowOff>0</xdr:rowOff>
    </xdr:to>
    <xdr:pic>
      <xdr:nvPicPr>
        <xdr:cNvPr id="112837" name="Picture 69" descr="agressieve-stampvoetende-man">
          <a:hlinkClick xmlns:r="http://schemas.openxmlformats.org/officeDocument/2006/relationships" r:id="rId20"/>
        </xdr:cNvPr>
        <xdr:cNvPicPr>
          <a:picLocks noChangeAspect="1" noChangeArrowheads="1"/>
        </xdr:cNvPicPr>
      </xdr:nvPicPr>
      <xdr:blipFill>
        <a:blip xmlns:r="http://schemas.openxmlformats.org/officeDocument/2006/relationships" r:embed="rId21" cstate="print"/>
        <a:srcRect/>
        <a:stretch>
          <a:fillRect/>
        </a:stretch>
      </xdr:blipFill>
      <xdr:spPr bwMode="auto">
        <a:xfrm>
          <a:off x="7419975" y="142855950"/>
          <a:ext cx="371475" cy="800100"/>
        </a:xfrm>
        <a:prstGeom prst="rect">
          <a:avLst/>
        </a:prstGeom>
        <a:noFill/>
        <a:ln w="9525">
          <a:noFill/>
          <a:miter lim="800000"/>
          <a:headEnd/>
          <a:tailEnd/>
        </a:ln>
      </xdr:spPr>
    </xdr:pic>
    <xdr:clientData/>
  </xdr:twoCellAnchor>
  <xdr:twoCellAnchor editAs="oneCell">
    <xdr:from>
      <xdr:col>5</xdr:col>
      <xdr:colOff>0</xdr:colOff>
      <xdr:row>944</xdr:row>
      <xdr:rowOff>85725</xdr:rowOff>
    </xdr:from>
    <xdr:to>
      <xdr:col>5</xdr:col>
      <xdr:colOff>238125</xdr:colOff>
      <xdr:row>945</xdr:row>
      <xdr:rowOff>76200</xdr:rowOff>
    </xdr:to>
    <xdr:pic>
      <xdr:nvPicPr>
        <xdr:cNvPr id="112838" name="Picture 72" descr="HANDL">
          <a:hlinkClick xmlns:r="http://schemas.openxmlformats.org/officeDocument/2006/relationships" r:id="rId22"/>
        </xdr:cNvPr>
        <xdr:cNvPicPr>
          <a:picLocks noChangeAspect="1" noChangeArrowheads="1"/>
        </xdr:cNvPicPr>
      </xdr:nvPicPr>
      <xdr:blipFill>
        <a:blip xmlns:r="http://schemas.openxmlformats.org/officeDocument/2006/relationships" r:embed="rId23" cstate="print"/>
        <a:srcRect/>
        <a:stretch>
          <a:fillRect/>
        </a:stretch>
      </xdr:blipFill>
      <xdr:spPr bwMode="auto">
        <a:xfrm>
          <a:off x="7419975" y="152857200"/>
          <a:ext cx="238125" cy="152400"/>
        </a:xfrm>
        <a:prstGeom prst="rect">
          <a:avLst/>
        </a:prstGeom>
        <a:noFill/>
        <a:ln w="9525">
          <a:noFill/>
          <a:miter lim="800000"/>
          <a:headEnd/>
          <a:tailEnd/>
        </a:ln>
      </xdr:spPr>
    </xdr:pic>
    <xdr:clientData/>
  </xdr:twoCellAnchor>
  <xdr:twoCellAnchor>
    <xdr:from>
      <xdr:col>5</xdr:col>
      <xdr:colOff>723900</xdr:colOff>
      <xdr:row>949</xdr:row>
      <xdr:rowOff>104775</xdr:rowOff>
    </xdr:from>
    <xdr:to>
      <xdr:col>6</xdr:col>
      <xdr:colOff>1085850</xdr:colOff>
      <xdr:row>953</xdr:row>
      <xdr:rowOff>76200</xdr:rowOff>
    </xdr:to>
    <xdr:sp macro="" textlink="">
      <xdr:nvSpPr>
        <xdr:cNvPr id="9289" name="WordArt 73">
          <a:hlinkClick xmlns:r="http://schemas.openxmlformats.org/officeDocument/2006/relationships" r:id="rId24"/>
        </xdr:cNvPr>
        <xdr:cNvSpPr>
          <a:spLocks noChangeArrowheads="1" noChangeShapeType="1" noTextEdit="1"/>
        </xdr:cNvSpPr>
      </xdr:nvSpPr>
      <xdr:spPr bwMode="auto">
        <a:xfrm rot="-1803939">
          <a:off x="8143875" y="153685875"/>
          <a:ext cx="1409700" cy="619125"/>
        </a:xfrm>
        <a:prstGeom prst="rect">
          <a:avLst/>
        </a:prstGeom>
      </xdr:spPr>
      <xdr:txBody>
        <a:bodyPr wrap="none" fromWordArt="1">
          <a:prstTxWarp prst="textPlain">
            <a:avLst>
              <a:gd name="adj" fmla="val 50000"/>
            </a:avLst>
          </a:prstTxWarp>
        </a:bodyPr>
        <a:lstStyle/>
        <a:p>
          <a:pPr algn="ctr" rtl="0"/>
          <a:r>
            <a:rPr lang="nl-NL" sz="3600" i="1" kern="10" spc="0">
              <a:ln w="9525">
                <a:solidFill>
                  <a:srgbClr val="000000"/>
                </a:solidFill>
                <a:round/>
                <a:headEnd/>
                <a:tailEnd/>
              </a:ln>
              <a:solidFill>
                <a:srgbClr val="FFFFFF"/>
              </a:solidFill>
              <a:effectLst>
                <a:outerShdw dist="35921" dir="2700000" algn="ctr" rotWithShape="0">
                  <a:srgbClr val="808080">
                    <a:alpha val="80000"/>
                  </a:srgbClr>
                </a:outerShdw>
              </a:effectLst>
              <a:latin typeface="Arial Black"/>
            </a:rPr>
            <a:t>HRM?</a:t>
          </a:r>
        </a:p>
      </xdr:txBody>
    </xdr:sp>
    <xdr:clientData/>
  </xdr:twoCellAnchor>
  <xdr:twoCellAnchor editAs="oneCell">
    <xdr:from>
      <xdr:col>4</xdr:col>
      <xdr:colOff>952500</xdr:colOff>
      <xdr:row>1078</xdr:row>
      <xdr:rowOff>19050</xdr:rowOff>
    </xdr:from>
    <xdr:to>
      <xdr:col>5</xdr:col>
      <xdr:colOff>933450</xdr:colOff>
      <xdr:row>1079</xdr:row>
      <xdr:rowOff>1</xdr:rowOff>
    </xdr:to>
    <xdr:pic>
      <xdr:nvPicPr>
        <xdr:cNvPr id="112840" name="Picture 75" descr="HAND-overzicht">
          <a:hlinkClick xmlns:r="http://schemas.openxmlformats.org/officeDocument/2006/relationships" r:id="rId25"/>
        </xdr:cNvPr>
        <xdr:cNvPicPr>
          <a:picLocks noChangeAspect="1" noChangeArrowheads="1"/>
        </xdr:cNvPicPr>
      </xdr:nvPicPr>
      <xdr:blipFill>
        <a:blip xmlns:r="http://schemas.openxmlformats.org/officeDocument/2006/relationships" r:embed="rId26" cstate="print"/>
        <a:srcRect/>
        <a:stretch>
          <a:fillRect/>
        </a:stretch>
      </xdr:blipFill>
      <xdr:spPr bwMode="auto">
        <a:xfrm>
          <a:off x="7324725" y="175707675"/>
          <a:ext cx="1028700" cy="142875"/>
        </a:xfrm>
        <a:prstGeom prst="rect">
          <a:avLst/>
        </a:prstGeom>
        <a:noFill/>
        <a:ln w="9525">
          <a:noFill/>
          <a:miter lim="800000"/>
          <a:headEnd/>
          <a:tailEnd/>
        </a:ln>
      </xdr:spPr>
    </xdr:pic>
    <xdr:clientData/>
  </xdr:twoCellAnchor>
  <xdr:twoCellAnchor editAs="oneCell">
    <xdr:from>
      <xdr:col>1</xdr:col>
      <xdr:colOff>228600</xdr:colOff>
      <xdr:row>1088</xdr:row>
      <xdr:rowOff>142875</xdr:rowOff>
    </xdr:from>
    <xdr:to>
      <xdr:col>3</xdr:col>
      <xdr:colOff>942146</xdr:colOff>
      <xdr:row>1114</xdr:row>
      <xdr:rowOff>9525</xdr:rowOff>
    </xdr:to>
    <xdr:pic>
      <xdr:nvPicPr>
        <xdr:cNvPr id="112841" name="Picture 76" descr="Gesprekscyclus-ism-MDVS&amp;BP&amp;PP-v2009-PDCA-weggelaten">
          <a:hlinkClick xmlns:r="http://schemas.openxmlformats.org/officeDocument/2006/relationships" r:id="rId27"/>
        </xdr:cNvPr>
        <xdr:cNvPicPr>
          <a:picLocks noChangeAspect="1" noChangeArrowheads="1"/>
        </xdr:cNvPicPr>
      </xdr:nvPicPr>
      <xdr:blipFill>
        <a:blip xmlns:r="http://schemas.openxmlformats.org/officeDocument/2006/relationships" r:embed="rId28" cstate="print"/>
        <a:srcRect/>
        <a:stretch>
          <a:fillRect/>
        </a:stretch>
      </xdr:blipFill>
      <xdr:spPr bwMode="auto">
        <a:xfrm>
          <a:off x="485775" y="177450750"/>
          <a:ext cx="5838825" cy="4076700"/>
        </a:xfrm>
        <a:prstGeom prst="rect">
          <a:avLst/>
        </a:prstGeom>
        <a:noFill/>
        <a:ln w="9525">
          <a:noFill/>
          <a:miter lim="800000"/>
          <a:headEnd/>
          <a:tailEnd/>
        </a:ln>
      </xdr:spPr>
    </xdr:pic>
    <xdr:clientData/>
  </xdr:twoCellAnchor>
  <xdr:twoCellAnchor editAs="oneCell">
    <xdr:from>
      <xdr:col>6</xdr:col>
      <xdr:colOff>295275</xdr:colOff>
      <xdr:row>980</xdr:row>
      <xdr:rowOff>9525</xdr:rowOff>
    </xdr:from>
    <xdr:to>
      <xdr:col>6</xdr:col>
      <xdr:colOff>723900</xdr:colOff>
      <xdr:row>983</xdr:row>
      <xdr:rowOff>95251</xdr:rowOff>
    </xdr:to>
    <xdr:pic>
      <xdr:nvPicPr>
        <xdr:cNvPr id="112842" name="Picture 78" descr="Kraan">
          <a:hlinkClick xmlns:r="http://schemas.openxmlformats.org/officeDocument/2006/relationships" r:id="rId29"/>
        </xdr:cNvPr>
        <xdr:cNvPicPr>
          <a:picLocks noChangeAspect="1" noChangeArrowheads="1"/>
        </xdr:cNvPicPr>
      </xdr:nvPicPr>
      <xdr:blipFill>
        <a:blip xmlns:r="http://schemas.openxmlformats.org/officeDocument/2006/relationships" r:embed="rId30" cstate="print"/>
        <a:srcRect/>
        <a:stretch>
          <a:fillRect/>
        </a:stretch>
      </xdr:blipFill>
      <xdr:spPr bwMode="auto">
        <a:xfrm>
          <a:off x="8763000" y="158953200"/>
          <a:ext cx="428625" cy="571500"/>
        </a:xfrm>
        <a:prstGeom prst="rect">
          <a:avLst/>
        </a:prstGeom>
        <a:noFill/>
        <a:ln w="9525">
          <a:noFill/>
          <a:miter lim="800000"/>
          <a:headEnd/>
          <a:tailEnd/>
        </a:ln>
      </xdr:spPr>
    </xdr:pic>
    <xdr:clientData/>
  </xdr:twoCellAnchor>
  <xdr:twoCellAnchor editAs="oneCell">
    <xdr:from>
      <xdr:col>6</xdr:col>
      <xdr:colOff>352425</xdr:colOff>
      <xdr:row>983</xdr:row>
      <xdr:rowOff>152400</xdr:rowOff>
    </xdr:from>
    <xdr:to>
      <xdr:col>6</xdr:col>
      <xdr:colOff>838200</xdr:colOff>
      <xdr:row>985</xdr:row>
      <xdr:rowOff>142874</xdr:rowOff>
    </xdr:to>
    <xdr:pic>
      <xdr:nvPicPr>
        <xdr:cNvPr id="112843" name="il_fi" descr="triple-druppel-full-1">
          <a:hlinkClick xmlns:r="http://schemas.openxmlformats.org/officeDocument/2006/relationships" r:id="rId31"/>
        </xdr:cNvPr>
        <xdr:cNvPicPr>
          <a:picLocks noChangeAspect="1" noChangeArrowheads="1"/>
        </xdr:cNvPicPr>
      </xdr:nvPicPr>
      <xdr:blipFill>
        <a:blip xmlns:r="http://schemas.openxmlformats.org/officeDocument/2006/relationships" r:embed="rId32" cstate="print"/>
        <a:srcRect/>
        <a:stretch>
          <a:fillRect/>
        </a:stretch>
      </xdr:blipFill>
      <xdr:spPr bwMode="auto">
        <a:xfrm>
          <a:off x="8820150" y="159581850"/>
          <a:ext cx="485775" cy="314325"/>
        </a:xfrm>
        <a:prstGeom prst="rect">
          <a:avLst/>
        </a:prstGeom>
        <a:noFill/>
        <a:ln w="9525">
          <a:noFill/>
          <a:miter lim="800000"/>
          <a:headEnd/>
          <a:tailEnd/>
        </a:ln>
      </xdr:spPr>
    </xdr:pic>
    <xdr:clientData/>
  </xdr:twoCellAnchor>
  <xdr:twoCellAnchor editAs="oneCell">
    <xdr:from>
      <xdr:col>5</xdr:col>
      <xdr:colOff>447675</xdr:colOff>
      <xdr:row>1131</xdr:row>
      <xdr:rowOff>19050</xdr:rowOff>
    </xdr:from>
    <xdr:to>
      <xdr:col>5</xdr:col>
      <xdr:colOff>695325</xdr:colOff>
      <xdr:row>1132</xdr:row>
      <xdr:rowOff>76201</xdr:rowOff>
    </xdr:to>
    <xdr:pic>
      <xdr:nvPicPr>
        <xdr:cNvPr id="112844" name="Picture 82" descr="down-groen">
          <a:hlinkClick xmlns:r="http://schemas.openxmlformats.org/officeDocument/2006/relationships" r:id="rId33"/>
        </xdr:cNvPr>
        <xdr:cNvPicPr>
          <a:picLocks noChangeAspect="1" noChangeArrowheads="1"/>
        </xdr:cNvPicPr>
      </xdr:nvPicPr>
      <xdr:blipFill>
        <a:blip xmlns:r="http://schemas.openxmlformats.org/officeDocument/2006/relationships" r:embed="rId34" cstate="print"/>
        <a:srcRect/>
        <a:stretch>
          <a:fillRect/>
        </a:stretch>
      </xdr:blipFill>
      <xdr:spPr bwMode="auto">
        <a:xfrm>
          <a:off x="7867650" y="184470675"/>
          <a:ext cx="247650" cy="219075"/>
        </a:xfrm>
        <a:prstGeom prst="rect">
          <a:avLst/>
        </a:prstGeom>
        <a:noFill/>
        <a:ln w="9525">
          <a:noFill/>
          <a:miter lim="800000"/>
          <a:headEnd/>
          <a:tailEnd/>
        </a:ln>
      </xdr:spPr>
    </xdr:pic>
    <xdr:clientData/>
  </xdr:twoCellAnchor>
  <xdr:twoCellAnchor editAs="oneCell">
    <xdr:from>
      <xdr:col>4</xdr:col>
      <xdr:colOff>0</xdr:colOff>
      <xdr:row>1149</xdr:row>
      <xdr:rowOff>0</xdr:rowOff>
    </xdr:from>
    <xdr:to>
      <xdr:col>4</xdr:col>
      <xdr:colOff>1000125</xdr:colOff>
      <xdr:row>1154</xdr:row>
      <xdr:rowOff>85724</xdr:rowOff>
    </xdr:to>
    <xdr:sp macro="" textlink="">
      <xdr:nvSpPr>
        <xdr:cNvPr id="112845" name="rg_hi" descr="Z"/>
        <xdr:cNvSpPr>
          <a:spLocks noChangeAspect="1" noChangeArrowheads="1"/>
        </xdr:cNvSpPr>
      </xdr:nvSpPr>
      <xdr:spPr bwMode="auto">
        <a:xfrm>
          <a:off x="6372225" y="187366275"/>
          <a:ext cx="1000125" cy="895350"/>
        </a:xfrm>
        <a:prstGeom prst="rect">
          <a:avLst/>
        </a:prstGeom>
        <a:noFill/>
        <a:ln w="9525">
          <a:noFill/>
          <a:miter lim="800000"/>
          <a:headEnd/>
          <a:tailEnd/>
        </a:ln>
      </xdr:spPr>
    </xdr:sp>
    <xdr:clientData/>
  </xdr:twoCellAnchor>
  <xdr:twoCellAnchor editAs="oneCell">
    <xdr:from>
      <xdr:col>4</xdr:col>
      <xdr:colOff>1000125</xdr:colOff>
      <xdr:row>1148</xdr:row>
      <xdr:rowOff>19050</xdr:rowOff>
    </xdr:from>
    <xdr:to>
      <xdr:col>6</xdr:col>
      <xdr:colOff>171449</xdr:colOff>
      <xdr:row>1155</xdr:row>
      <xdr:rowOff>9526</xdr:rowOff>
    </xdr:to>
    <xdr:pic>
      <xdr:nvPicPr>
        <xdr:cNvPr id="112846" name="il_fi" descr="verzuim">
          <a:hlinkClick xmlns:r="http://schemas.openxmlformats.org/officeDocument/2006/relationships" r:id="rId35"/>
        </xdr:cNvPr>
        <xdr:cNvPicPr>
          <a:picLocks noChangeAspect="1" noChangeArrowheads="1"/>
        </xdr:cNvPicPr>
      </xdr:nvPicPr>
      <xdr:blipFill>
        <a:blip xmlns:r="http://schemas.openxmlformats.org/officeDocument/2006/relationships" r:embed="rId36" cstate="print"/>
        <a:srcRect/>
        <a:stretch>
          <a:fillRect/>
        </a:stretch>
      </xdr:blipFill>
      <xdr:spPr bwMode="auto">
        <a:xfrm>
          <a:off x="7372350" y="187223400"/>
          <a:ext cx="1266825" cy="1123950"/>
        </a:xfrm>
        <a:prstGeom prst="rect">
          <a:avLst/>
        </a:prstGeom>
        <a:noFill/>
        <a:ln w="9525">
          <a:noFill/>
          <a:miter lim="800000"/>
          <a:headEnd/>
          <a:tailEnd/>
        </a:ln>
      </xdr:spPr>
    </xdr:pic>
    <xdr:clientData/>
  </xdr:twoCellAnchor>
  <xdr:twoCellAnchor editAs="oneCell">
    <xdr:from>
      <xdr:col>4</xdr:col>
      <xdr:colOff>0</xdr:colOff>
      <xdr:row>1207</xdr:row>
      <xdr:rowOff>0</xdr:rowOff>
    </xdr:from>
    <xdr:to>
      <xdr:col>4</xdr:col>
      <xdr:colOff>1000125</xdr:colOff>
      <xdr:row>1212</xdr:row>
      <xdr:rowOff>85725</xdr:rowOff>
    </xdr:to>
    <xdr:sp macro="" textlink="">
      <xdr:nvSpPr>
        <xdr:cNvPr id="112847" name="rg_hi" descr="Z"/>
        <xdr:cNvSpPr>
          <a:spLocks noChangeAspect="1" noChangeArrowheads="1"/>
        </xdr:cNvSpPr>
      </xdr:nvSpPr>
      <xdr:spPr bwMode="auto">
        <a:xfrm>
          <a:off x="6372225" y="196415025"/>
          <a:ext cx="1000125" cy="895350"/>
        </a:xfrm>
        <a:prstGeom prst="rect">
          <a:avLst/>
        </a:prstGeom>
        <a:noFill/>
        <a:ln w="9525">
          <a:noFill/>
          <a:miter lim="800000"/>
          <a:headEnd/>
          <a:tailEnd/>
        </a:ln>
      </xdr:spPr>
    </xdr:sp>
    <xdr:clientData/>
  </xdr:twoCellAnchor>
  <xdr:twoCellAnchor editAs="oneCell">
    <xdr:from>
      <xdr:col>4</xdr:col>
      <xdr:colOff>847725</xdr:colOff>
      <xdr:row>1203</xdr:row>
      <xdr:rowOff>66675</xdr:rowOff>
    </xdr:from>
    <xdr:to>
      <xdr:col>6</xdr:col>
      <xdr:colOff>590549</xdr:colOff>
      <xdr:row>1214</xdr:row>
      <xdr:rowOff>114300</xdr:rowOff>
    </xdr:to>
    <xdr:pic>
      <xdr:nvPicPr>
        <xdr:cNvPr id="112848" name="il_fi" descr="HRM">
          <a:hlinkClick xmlns:r="http://schemas.openxmlformats.org/officeDocument/2006/relationships" r:id="rId37"/>
        </xdr:cNvPr>
        <xdr:cNvPicPr>
          <a:picLocks noChangeAspect="1" noChangeArrowheads="1"/>
        </xdr:cNvPicPr>
      </xdr:nvPicPr>
      <xdr:blipFill>
        <a:blip xmlns:r="http://schemas.openxmlformats.org/officeDocument/2006/relationships" r:embed="rId38" cstate="print"/>
        <a:srcRect/>
        <a:stretch>
          <a:fillRect/>
        </a:stretch>
      </xdr:blipFill>
      <xdr:spPr bwMode="auto">
        <a:xfrm>
          <a:off x="7219950" y="195834000"/>
          <a:ext cx="1838325" cy="1828800"/>
        </a:xfrm>
        <a:prstGeom prst="rect">
          <a:avLst/>
        </a:prstGeom>
        <a:noFill/>
        <a:ln w="9525">
          <a:noFill/>
          <a:miter lim="800000"/>
          <a:headEnd/>
          <a:tailEnd/>
        </a:ln>
      </xdr:spPr>
    </xdr:pic>
    <xdr:clientData/>
  </xdr:twoCellAnchor>
  <xdr:twoCellAnchor>
    <xdr:from>
      <xdr:col>2</xdr:col>
      <xdr:colOff>314325</xdr:colOff>
      <xdr:row>1271</xdr:row>
      <xdr:rowOff>114300</xdr:rowOff>
    </xdr:from>
    <xdr:to>
      <xdr:col>3</xdr:col>
      <xdr:colOff>47625</xdr:colOff>
      <xdr:row>1275</xdr:row>
      <xdr:rowOff>85725</xdr:rowOff>
    </xdr:to>
    <xdr:sp macro="" textlink="">
      <xdr:nvSpPr>
        <xdr:cNvPr id="9307" name="WordArt 91">
          <a:hlinkClick xmlns:r="http://schemas.openxmlformats.org/officeDocument/2006/relationships" r:id="rId39"/>
        </xdr:cNvPr>
        <xdr:cNvSpPr>
          <a:spLocks noChangeArrowheads="1" noChangeShapeType="1" noTextEdit="1"/>
        </xdr:cNvSpPr>
      </xdr:nvSpPr>
      <xdr:spPr bwMode="auto">
        <a:xfrm rot="742845">
          <a:off x="4591050" y="201225150"/>
          <a:ext cx="781050" cy="619125"/>
        </a:xfrm>
        <a:prstGeom prst="rect">
          <a:avLst/>
        </a:prstGeom>
      </xdr:spPr>
      <xdr:txBody>
        <a:bodyPr wrap="none" fromWordArt="1">
          <a:prstTxWarp prst="textFadeUp">
            <a:avLst>
              <a:gd name="adj" fmla="val 9991"/>
            </a:avLst>
          </a:prstTxWarp>
        </a:bodyPr>
        <a:lstStyle/>
        <a:p>
          <a:pPr algn="ctr" rtl="0"/>
          <a:r>
            <a:rPr lang="nl-NL" sz="3600" kern="10" spc="0">
              <a:ln w="12700">
                <a:solidFill>
                  <a:srgbClr val="B2B2B2"/>
                </a:solidFill>
                <a:round/>
                <a:headEnd/>
                <a:tailEnd/>
              </a:ln>
              <a:gradFill rotWithShape="0">
                <a:gsLst>
                  <a:gs pos="0">
                    <a:srgbClr val="520402"/>
                  </a:gs>
                  <a:gs pos="100000">
                    <a:srgbClr val="FFCC00"/>
                  </a:gs>
                </a:gsLst>
                <a:lin ang="4657155" scaled="1"/>
              </a:gradFill>
              <a:effectLst>
                <a:outerShdw dist="35921" dir="2700000" sy="50000" rotWithShape="0">
                  <a:srgbClr val="875B0D">
                    <a:alpha val="70000"/>
                  </a:srgbClr>
                </a:outerShdw>
              </a:effectLst>
              <a:latin typeface="Arial Black"/>
            </a:rPr>
            <a:t>ABC</a:t>
          </a:r>
        </a:p>
      </xdr:txBody>
    </xdr:sp>
    <xdr:clientData/>
  </xdr:twoCellAnchor>
  <xdr:twoCellAnchor editAs="oneCell">
    <xdr:from>
      <xdr:col>5</xdr:col>
      <xdr:colOff>438150</xdr:colOff>
      <xdr:row>1301</xdr:row>
      <xdr:rowOff>85725</xdr:rowOff>
    </xdr:from>
    <xdr:to>
      <xdr:col>6</xdr:col>
      <xdr:colOff>904874</xdr:colOff>
      <xdr:row>1307</xdr:row>
      <xdr:rowOff>28575</xdr:rowOff>
    </xdr:to>
    <xdr:pic>
      <xdr:nvPicPr>
        <xdr:cNvPr id="112850" name="Picture 92" descr="personeel">
          <a:hlinkClick xmlns:r="http://schemas.openxmlformats.org/officeDocument/2006/relationships" r:id="rId40"/>
        </xdr:cNvPr>
        <xdr:cNvPicPr>
          <a:picLocks noChangeAspect="1" noChangeArrowheads="1"/>
        </xdr:cNvPicPr>
      </xdr:nvPicPr>
      <xdr:blipFill>
        <a:blip xmlns:r="http://schemas.openxmlformats.org/officeDocument/2006/relationships" r:embed="rId41" cstate="print"/>
        <a:srcRect/>
        <a:stretch>
          <a:fillRect/>
        </a:stretch>
      </xdr:blipFill>
      <xdr:spPr bwMode="auto">
        <a:xfrm>
          <a:off x="7858125" y="205949550"/>
          <a:ext cx="1514475" cy="914400"/>
        </a:xfrm>
        <a:prstGeom prst="rect">
          <a:avLst/>
        </a:prstGeom>
        <a:noFill/>
        <a:ln w="9525">
          <a:noFill/>
          <a:miter lim="800000"/>
          <a:headEnd/>
          <a:tailEnd/>
        </a:ln>
      </xdr:spPr>
    </xdr:pic>
    <xdr:clientData/>
  </xdr:twoCellAnchor>
  <xdr:twoCellAnchor editAs="oneCell">
    <xdr:from>
      <xdr:col>7</xdr:col>
      <xdr:colOff>419100</xdr:colOff>
      <xdr:row>1320</xdr:row>
      <xdr:rowOff>19050</xdr:rowOff>
    </xdr:from>
    <xdr:to>
      <xdr:col>7</xdr:col>
      <xdr:colOff>666750</xdr:colOff>
      <xdr:row>1320</xdr:row>
      <xdr:rowOff>266700</xdr:rowOff>
    </xdr:to>
    <xdr:pic>
      <xdr:nvPicPr>
        <xdr:cNvPr id="112852" name="Picture 96" descr="INFO">
          <a:hlinkClick xmlns:r="http://schemas.openxmlformats.org/officeDocument/2006/relationships" r:id="rId42"/>
        </xdr:cNvPr>
        <xdr:cNvPicPr>
          <a:picLocks noChangeAspect="1" noChangeArrowheads="1"/>
        </xdr:cNvPicPr>
      </xdr:nvPicPr>
      <xdr:blipFill>
        <a:blip xmlns:r="http://schemas.openxmlformats.org/officeDocument/2006/relationships" r:embed="rId43" cstate="print"/>
        <a:srcRect/>
        <a:stretch>
          <a:fillRect/>
        </a:stretch>
      </xdr:blipFill>
      <xdr:spPr bwMode="auto">
        <a:xfrm>
          <a:off x="10029825" y="210150075"/>
          <a:ext cx="247650" cy="247650"/>
        </a:xfrm>
        <a:prstGeom prst="rect">
          <a:avLst/>
        </a:prstGeom>
        <a:noFill/>
        <a:ln w="9525">
          <a:noFill/>
          <a:miter lim="800000"/>
          <a:headEnd/>
          <a:tailEnd/>
        </a:ln>
      </xdr:spPr>
    </xdr:pic>
    <xdr:clientData/>
  </xdr:twoCellAnchor>
  <xdr:twoCellAnchor editAs="oneCell">
    <xdr:from>
      <xdr:col>7</xdr:col>
      <xdr:colOff>438150</xdr:colOff>
      <xdr:row>1321</xdr:row>
      <xdr:rowOff>19050</xdr:rowOff>
    </xdr:from>
    <xdr:to>
      <xdr:col>7</xdr:col>
      <xdr:colOff>685800</xdr:colOff>
      <xdr:row>1322</xdr:row>
      <xdr:rowOff>104775</xdr:rowOff>
    </xdr:to>
    <xdr:pic>
      <xdr:nvPicPr>
        <xdr:cNvPr id="112853" name="Picture 97" descr="INFO">
          <a:hlinkClick xmlns:r="http://schemas.openxmlformats.org/officeDocument/2006/relationships" r:id="rId44"/>
        </xdr:cNvPr>
        <xdr:cNvPicPr>
          <a:picLocks noChangeAspect="1" noChangeArrowheads="1"/>
        </xdr:cNvPicPr>
      </xdr:nvPicPr>
      <xdr:blipFill>
        <a:blip xmlns:r="http://schemas.openxmlformats.org/officeDocument/2006/relationships" r:embed="rId43" cstate="print"/>
        <a:srcRect/>
        <a:stretch>
          <a:fillRect/>
        </a:stretch>
      </xdr:blipFill>
      <xdr:spPr bwMode="auto">
        <a:xfrm>
          <a:off x="10048875" y="210483450"/>
          <a:ext cx="247650" cy="257175"/>
        </a:xfrm>
        <a:prstGeom prst="rect">
          <a:avLst/>
        </a:prstGeom>
        <a:noFill/>
        <a:ln w="9525">
          <a:noFill/>
          <a:miter lim="800000"/>
          <a:headEnd/>
          <a:tailEnd/>
        </a:ln>
      </xdr:spPr>
    </xdr:pic>
    <xdr:clientData/>
  </xdr:twoCellAnchor>
  <xdr:twoCellAnchor editAs="oneCell">
    <xdr:from>
      <xdr:col>5</xdr:col>
      <xdr:colOff>504825</xdr:colOff>
      <xdr:row>1337</xdr:row>
      <xdr:rowOff>104775</xdr:rowOff>
    </xdr:from>
    <xdr:to>
      <xdr:col>6</xdr:col>
      <xdr:colOff>590549</xdr:colOff>
      <xdr:row>1346</xdr:row>
      <xdr:rowOff>0</xdr:rowOff>
    </xdr:to>
    <xdr:pic>
      <xdr:nvPicPr>
        <xdr:cNvPr id="112854" name="rg_hi" descr="ANd9GcRfPUB2bEnajRzb62OFWBRGAbdAlspV_xSc7NAKALKUmNIm2JUf">
          <a:hlinkClick xmlns:r="http://schemas.openxmlformats.org/officeDocument/2006/relationships" r:id="rId45"/>
        </xdr:cNvPr>
        <xdr:cNvPicPr>
          <a:picLocks noChangeAspect="1" noChangeArrowheads="1"/>
        </xdr:cNvPicPr>
      </xdr:nvPicPr>
      <xdr:blipFill>
        <a:blip xmlns:r="http://schemas.openxmlformats.org/officeDocument/2006/relationships" r:embed="rId46" cstate="print"/>
        <a:srcRect/>
        <a:stretch>
          <a:fillRect/>
        </a:stretch>
      </xdr:blipFill>
      <xdr:spPr bwMode="auto">
        <a:xfrm>
          <a:off x="7924800" y="213350475"/>
          <a:ext cx="1133475" cy="1352550"/>
        </a:xfrm>
        <a:prstGeom prst="rect">
          <a:avLst/>
        </a:prstGeom>
        <a:noFill/>
        <a:ln w="9525">
          <a:noFill/>
          <a:miter lim="800000"/>
          <a:headEnd/>
          <a:tailEnd/>
        </a:ln>
      </xdr:spPr>
    </xdr:pic>
    <xdr:clientData/>
  </xdr:twoCellAnchor>
  <xdr:twoCellAnchor editAs="oneCell">
    <xdr:from>
      <xdr:col>6</xdr:col>
      <xdr:colOff>1114425</xdr:colOff>
      <xdr:row>1224</xdr:row>
      <xdr:rowOff>95250</xdr:rowOff>
    </xdr:from>
    <xdr:to>
      <xdr:col>7</xdr:col>
      <xdr:colOff>171450</xdr:colOff>
      <xdr:row>1225</xdr:row>
      <xdr:rowOff>123825</xdr:rowOff>
    </xdr:to>
    <xdr:pic>
      <xdr:nvPicPr>
        <xdr:cNvPr id="112855" name="Picture 99" descr="Vraagteken">
          <a:hlinkClick xmlns:r="http://schemas.openxmlformats.org/officeDocument/2006/relationships" r:id="rId15"/>
        </xdr:cNvPr>
        <xdr:cNvPicPr>
          <a:picLocks noChangeAspect="1" noChangeArrowheads="1"/>
        </xdr:cNvPicPr>
      </xdr:nvPicPr>
      <xdr:blipFill>
        <a:blip xmlns:r="http://schemas.openxmlformats.org/officeDocument/2006/relationships" r:embed="rId47" cstate="print"/>
        <a:srcRect/>
        <a:stretch>
          <a:fillRect/>
        </a:stretch>
      </xdr:blipFill>
      <xdr:spPr bwMode="auto">
        <a:xfrm>
          <a:off x="9582150" y="198129525"/>
          <a:ext cx="200025" cy="190500"/>
        </a:xfrm>
        <a:prstGeom prst="rect">
          <a:avLst/>
        </a:prstGeom>
        <a:noFill/>
        <a:ln w="9525">
          <a:noFill/>
          <a:miter lim="800000"/>
          <a:headEnd/>
          <a:tailEnd/>
        </a:ln>
      </xdr:spPr>
    </xdr:pic>
    <xdr:clientData/>
  </xdr:twoCellAnchor>
  <xdr:twoCellAnchor editAs="oneCell">
    <xdr:from>
      <xdr:col>7</xdr:col>
      <xdr:colOff>238125</xdr:colOff>
      <xdr:row>1199</xdr:row>
      <xdr:rowOff>142875</xdr:rowOff>
    </xdr:from>
    <xdr:to>
      <xdr:col>7</xdr:col>
      <xdr:colOff>742950</xdr:colOff>
      <xdr:row>1200</xdr:row>
      <xdr:rowOff>142874</xdr:rowOff>
    </xdr:to>
    <xdr:pic>
      <xdr:nvPicPr>
        <xdr:cNvPr id="112856" name="Picture 100" descr="CD_HELP">
          <a:hlinkClick xmlns:r="http://schemas.openxmlformats.org/officeDocument/2006/relationships" r:id="rId48"/>
        </xdr:cNvPr>
        <xdr:cNvPicPr>
          <a:picLocks noChangeAspect="1" noChangeArrowheads="1"/>
        </xdr:cNvPicPr>
      </xdr:nvPicPr>
      <xdr:blipFill>
        <a:blip xmlns:r="http://schemas.openxmlformats.org/officeDocument/2006/relationships" r:embed="rId49" cstate="print"/>
        <a:srcRect/>
        <a:stretch>
          <a:fillRect/>
        </a:stretch>
      </xdr:blipFill>
      <xdr:spPr bwMode="auto">
        <a:xfrm>
          <a:off x="9848850" y="195262500"/>
          <a:ext cx="504825" cy="161925"/>
        </a:xfrm>
        <a:prstGeom prst="rect">
          <a:avLst/>
        </a:prstGeom>
        <a:noFill/>
        <a:ln w="9525">
          <a:noFill/>
          <a:miter lim="800000"/>
          <a:headEnd/>
          <a:tailEnd/>
        </a:ln>
      </xdr:spPr>
    </xdr:pic>
    <xdr:clientData/>
  </xdr:twoCellAnchor>
  <xdr:twoCellAnchor>
    <xdr:from>
      <xdr:col>5</xdr:col>
      <xdr:colOff>628650</xdr:colOff>
      <xdr:row>720</xdr:row>
      <xdr:rowOff>85725</xdr:rowOff>
    </xdr:from>
    <xdr:to>
      <xdr:col>5</xdr:col>
      <xdr:colOff>1038225</xdr:colOff>
      <xdr:row>720</xdr:row>
      <xdr:rowOff>85725</xdr:rowOff>
    </xdr:to>
    <xdr:cxnSp macro="">
      <xdr:nvCxnSpPr>
        <xdr:cNvPr id="78" name="Rechte verbindingslijn met pijl 77"/>
        <xdr:cNvCxnSpPr/>
      </xdr:nvCxnSpPr>
      <xdr:spPr>
        <a:xfrm>
          <a:off x="8048625" y="127349250"/>
          <a:ext cx="409575" cy="0"/>
        </a:xfrm>
        <a:prstGeom prst="straightConnector1">
          <a:avLst/>
        </a:prstGeom>
        <a:ln>
          <a:tailEnd type="arrow"/>
        </a:ln>
      </xdr:spPr>
      <xdr:style>
        <a:lnRef idx="2">
          <a:schemeClr val="dk1"/>
        </a:lnRef>
        <a:fillRef idx="0">
          <a:schemeClr val="dk1"/>
        </a:fillRef>
        <a:effectRef idx="1">
          <a:schemeClr val="dk1"/>
        </a:effectRef>
        <a:fontRef idx="minor">
          <a:schemeClr val="tx1"/>
        </a:fontRef>
      </xdr:style>
    </xdr:cxnSp>
    <xdr:clientData/>
  </xdr:twoCellAnchor>
  <xdr:twoCellAnchor>
    <xdr:from>
      <xdr:col>4</xdr:col>
      <xdr:colOff>0</xdr:colOff>
      <xdr:row>720</xdr:row>
      <xdr:rowOff>95250</xdr:rowOff>
    </xdr:from>
    <xdr:to>
      <xdr:col>4</xdr:col>
      <xdr:colOff>438150</xdr:colOff>
      <xdr:row>720</xdr:row>
      <xdr:rowOff>95250</xdr:rowOff>
    </xdr:to>
    <xdr:cxnSp macro="">
      <xdr:nvCxnSpPr>
        <xdr:cNvPr id="80" name="Rechte verbindingslijn met pijl 79"/>
        <xdr:cNvCxnSpPr/>
      </xdr:nvCxnSpPr>
      <xdr:spPr>
        <a:xfrm flipH="1">
          <a:off x="6372225" y="127358775"/>
          <a:ext cx="438150" cy="0"/>
        </a:xfrm>
        <a:prstGeom prst="straightConnector1">
          <a:avLst/>
        </a:prstGeom>
        <a:ln>
          <a:tailEnd type="arrow"/>
        </a:ln>
      </xdr:spPr>
      <xdr:style>
        <a:lnRef idx="2">
          <a:schemeClr val="dk1"/>
        </a:lnRef>
        <a:fillRef idx="0">
          <a:schemeClr val="dk1"/>
        </a:fillRef>
        <a:effectRef idx="1">
          <a:schemeClr val="dk1"/>
        </a:effectRef>
        <a:fontRef idx="minor">
          <a:schemeClr val="tx1"/>
        </a:fontRef>
      </xdr:style>
    </xdr:cxnSp>
    <xdr:clientData/>
  </xdr:twoCellAnchor>
  <xdr:twoCellAnchor>
    <xdr:from>
      <xdr:col>3</xdr:col>
      <xdr:colOff>533400</xdr:colOff>
      <xdr:row>710</xdr:row>
      <xdr:rowOff>9525</xdr:rowOff>
    </xdr:from>
    <xdr:to>
      <xdr:col>3</xdr:col>
      <xdr:colOff>542925</xdr:colOff>
      <xdr:row>713</xdr:row>
      <xdr:rowOff>9525</xdr:rowOff>
    </xdr:to>
    <xdr:cxnSp macro="">
      <xdr:nvCxnSpPr>
        <xdr:cNvPr id="82" name="Rechte verbindingslijn met pijl 81"/>
        <xdr:cNvCxnSpPr/>
      </xdr:nvCxnSpPr>
      <xdr:spPr>
        <a:xfrm flipV="1">
          <a:off x="5857875" y="125653800"/>
          <a:ext cx="9525" cy="485775"/>
        </a:xfrm>
        <a:prstGeom prst="straightConnector1">
          <a:avLst/>
        </a:prstGeom>
        <a:ln>
          <a:tailEnd type="arrow"/>
        </a:ln>
      </xdr:spPr>
      <xdr:style>
        <a:lnRef idx="2">
          <a:schemeClr val="dk1"/>
        </a:lnRef>
        <a:fillRef idx="0">
          <a:schemeClr val="dk1"/>
        </a:fillRef>
        <a:effectRef idx="1">
          <a:schemeClr val="dk1"/>
        </a:effectRef>
        <a:fontRef idx="minor">
          <a:schemeClr val="tx1"/>
        </a:fontRef>
      </xdr:style>
    </xdr:cxnSp>
    <xdr:clientData/>
  </xdr:twoCellAnchor>
  <xdr:twoCellAnchor>
    <xdr:from>
      <xdr:col>3</xdr:col>
      <xdr:colOff>514350</xdr:colOff>
      <xdr:row>715</xdr:row>
      <xdr:rowOff>38100</xdr:rowOff>
    </xdr:from>
    <xdr:to>
      <xdr:col>3</xdr:col>
      <xdr:colOff>523875</xdr:colOff>
      <xdr:row>718</xdr:row>
      <xdr:rowOff>19050</xdr:rowOff>
    </xdr:to>
    <xdr:cxnSp macro="">
      <xdr:nvCxnSpPr>
        <xdr:cNvPr id="84" name="Rechte verbindingslijn met pijl 83"/>
        <xdr:cNvCxnSpPr/>
      </xdr:nvCxnSpPr>
      <xdr:spPr>
        <a:xfrm flipH="1">
          <a:off x="5838825" y="126492000"/>
          <a:ext cx="9525" cy="466725"/>
        </a:xfrm>
        <a:prstGeom prst="straightConnector1">
          <a:avLst/>
        </a:prstGeom>
        <a:ln>
          <a:tailEnd type="arrow"/>
        </a:ln>
      </xdr:spPr>
      <xdr:style>
        <a:lnRef idx="2">
          <a:schemeClr val="dk1"/>
        </a:lnRef>
        <a:fillRef idx="0">
          <a:schemeClr val="dk1"/>
        </a:fillRef>
        <a:effectRef idx="1">
          <a:schemeClr val="dk1"/>
        </a:effectRef>
        <a:fontRef idx="minor">
          <a:schemeClr val="tx1"/>
        </a:fontRef>
      </xdr:style>
    </xdr:cxnSp>
    <xdr:clientData/>
  </xdr:twoCellAnchor>
  <xdr:oneCellAnchor>
    <xdr:from>
      <xdr:col>6</xdr:col>
      <xdr:colOff>525007</xdr:colOff>
      <xdr:row>711</xdr:row>
      <xdr:rowOff>33877</xdr:rowOff>
    </xdr:from>
    <xdr:ext cx="1216936" cy="937629"/>
    <xdr:sp macro="" textlink="">
      <xdr:nvSpPr>
        <xdr:cNvPr id="85" name="Rechthoek 84">
          <a:hlinkClick xmlns:r="http://schemas.openxmlformats.org/officeDocument/2006/relationships" r:id="rId50"/>
        </xdr:cNvPr>
        <xdr:cNvSpPr/>
      </xdr:nvSpPr>
      <xdr:spPr>
        <a:xfrm rot="1626779">
          <a:off x="8992732" y="125840077"/>
          <a:ext cx="1216936" cy="937629"/>
        </a:xfrm>
        <a:prstGeom prst="rect">
          <a:avLst/>
        </a:prstGeom>
        <a:noFill/>
      </xdr:spPr>
      <xdr:txBody>
        <a:bodyPr wrap="none" lIns="91440" tIns="45720" rIns="91440" bIns="45720">
          <a:spAutoFit/>
        </a:bodyPr>
        <a:lstStyle/>
        <a:p>
          <a:pPr algn="ctr"/>
          <a:r>
            <a:rPr lang="nl-NL" sz="5400" b="1" cap="none" spc="0">
              <a:ln w="17780" cmpd="sng">
                <a:solidFill>
                  <a:srgbClr val="FFFFFF"/>
                </a:solidFill>
                <a:prstDash val="solid"/>
                <a:miter lim="800000"/>
              </a:ln>
              <a:gradFill rotWithShape="1">
                <a:gsLst>
                  <a:gs pos="0">
                    <a:srgbClr val="000000">
                      <a:tint val="92000"/>
                      <a:shade val="100000"/>
                      <a:satMod val="150000"/>
                    </a:srgbClr>
                  </a:gs>
                  <a:gs pos="49000">
                    <a:srgbClr val="000000">
                      <a:tint val="89000"/>
                      <a:shade val="90000"/>
                      <a:satMod val="150000"/>
                    </a:srgbClr>
                  </a:gs>
                  <a:gs pos="50000">
                    <a:srgbClr val="000000">
                      <a:tint val="100000"/>
                      <a:shade val="75000"/>
                      <a:satMod val="150000"/>
                    </a:srgbClr>
                  </a:gs>
                  <a:gs pos="95000">
                    <a:srgbClr val="000000">
                      <a:shade val="47000"/>
                      <a:satMod val="150000"/>
                    </a:srgbClr>
                  </a:gs>
                  <a:gs pos="100000">
                    <a:srgbClr val="000000">
                      <a:shade val="39000"/>
                      <a:satMod val="150000"/>
                    </a:srgbClr>
                  </a:gs>
                </a:gsLst>
                <a:lin ang="5400000"/>
              </a:gradFill>
              <a:effectLst>
                <a:outerShdw blurRad="50800" algn="tl" rotWithShape="0">
                  <a:srgbClr val="000000"/>
                </a:outerShdw>
              </a:effectLst>
            </a:rPr>
            <a:t>JDC</a:t>
          </a:r>
        </a:p>
      </xdr:txBody>
    </xdr:sp>
    <xdr:clientData/>
  </xdr:oneCellAnchor>
  <xdr:twoCellAnchor>
    <xdr:from>
      <xdr:col>4</xdr:col>
      <xdr:colOff>838200</xdr:colOff>
      <xdr:row>728</xdr:row>
      <xdr:rowOff>85725</xdr:rowOff>
    </xdr:from>
    <xdr:to>
      <xdr:col>6</xdr:col>
      <xdr:colOff>0</xdr:colOff>
      <xdr:row>731</xdr:row>
      <xdr:rowOff>76200</xdr:rowOff>
    </xdr:to>
    <xdr:sp macro="" textlink="">
      <xdr:nvSpPr>
        <xdr:cNvPr id="88" name="Bliksemflits 87">
          <a:hlinkClick xmlns:r="http://schemas.openxmlformats.org/officeDocument/2006/relationships" r:id="rId51"/>
        </xdr:cNvPr>
        <xdr:cNvSpPr/>
      </xdr:nvSpPr>
      <xdr:spPr>
        <a:xfrm>
          <a:off x="7210425" y="128797050"/>
          <a:ext cx="1257300" cy="476250"/>
        </a:xfrm>
        <a:prstGeom prst="lightningBolt">
          <a:avLst/>
        </a:prstGeom>
        <a:solidFill>
          <a:srgbClr val="FF0000"/>
        </a:solidFill>
        <a:ln>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nl-NL" sz="1100"/>
        </a:p>
      </xdr:txBody>
    </xdr:sp>
    <xdr:clientData/>
  </xdr:twoCellAnchor>
  <xdr:twoCellAnchor>
    <xdr:from>
      <xdr:col>5</xdr:col>
      <xdr:colOff>323851</xdr:colOff>
      <xdr:row>1243</xdr:row>
      <xdr:rowOff>9525</xdr:rowOff>
    </xdr:from>
    <xdr:to>
      <xdr:col>6</xdr:col>
      <xdr:colOff>114301</xdr:colOff>
      <xdr:row>1246</xdr:row>
      <xdr:rowOff>28575</xdr:rowOff>
    </xdr:to>
    <xdr:sp macro="" textlink="">
      <xdr:nvSpPr>
        <xdr:cNvPr id="90" name="Wolkvormige toelichting 89">
          <a:hlinkClick xmlns:r="http://schemas.openxmlformats.org/officeDocument/2006/relationships" r:id="rId52"/>
        </xdr:cNvPr>
        <xdr:cNvSpPr/>
      </xdr:nvSpPr>
      <xdr:spPr>
        <a:xfrm>
          <a:off x="7743826" y="215969850"/>
          <a:ext cx="838200" cy="504825"/>
        </a:xfrm>
        <a:prstGeom prst="cloudCallout">
          <a:avLst/>
        </a:prstGeom>
        <a:solidFill>
          <a:schemeClr val="tx2">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nl-NL" sz="1100"/>
        </a:p>
      </xdr:txBody>
    </xdr:sp>
    <xdr:clientData/>
  </xdr:twoCellAnchor>
  <xdr:twoCellAnchor editAs="oneCell">
    <xdr:from>
      <xdr:col>7</xdr:col>
      <xdr:colOff>28576</xdr:colOff>
      <xdr:row>1069</xdr:row>
      <xdr:rowOff>76200</xdr:rowOff>
    </xdr:from>
    <xdr:to>
      <xdr:col>7</xdr:col>
      <xdr:colOff>612168</xdr:colOff>
      <xdr:row>1072</xdr:row>
      <xdr:rowOff>95250</xdr:rowOff>
    </xdr:to>
    <xdr:pic>
      <xdr:nvPicPr>
        <xdr:cNvPr id="9306" name="Picture 90" descr="MT Management Team">
          <a:hlinkClick xmlns:r="http://schemas.openxmlformats.org/officeDocument/2006/relationships" r:id="rId53"/>
        </xdr:cNvPr>
        <xdr:cNvPicPr>
          <a:picLocks noChangeAspect="1" noChangeArrowheads="1"/>
        </xdr:cNvPicPr>
      </xdr:nvPicPr>
      <xdr:blipFill>
        <a:blip xmlns:r="http://schemas.openxmlformats.org/officeDocument/2006/relationships" r:embed="rId54" cstate="print"/>
        <a:srcRect/>
        <a:stretch>
          <a:fillRect/>
        </a:stretch>
      </xdr:blipFill>
      <xdr:spPr bwMode="auto">
        <a:xfrm>
          <a:off x="9639301" y="183984900"/>
          <a:ext cx="583592" cy="504825"/>
        </a:xfrm>
        <a:prstGeom prst="rect">
          <a:avLst/>
        </a:prstGeom>
        <a:noFill/>
      </xdr:spPr>
    </xdr:pic>
    <xdr:clientData/>
  </xdr:twoCellAnchor>
  <xdr:twoCellAnchor>
    <xdr:from>
      <xdr:col>0</xdr:col>
      <xdr:colOff>248479</xdr:colOff>
      <xdr:row>772</xdr:row>
      <xdr:rowOff>99393</xdr:rowOff>
    </xdr:from>
    <xdr:to>
      <xdr:col>1</xdr:col>
      <xdr:colOff>331306</xdr:colOff>
      <xdr:row>776</xdr:row>
      <xdr:rowOff>16564</xdr:rowOff>
    </xdr:to>
    <xdr:cxnSp macro="">
      <xdr:nvCxnSpPr>
        <xdr:cNvPr id="86" name="Gebogen verbindingslijn 85"/>
        <xdr:cNvCxnSpPr/>
      </xdr:nvCxnSpPr>
      <xdr:spPr>
        <a:xfrm rot="16200000" flipH="1">
          <a:off x="128383" y="136244772"/>
          <a:ext cx="579779" cy="339588"/>
        </a:xfrm>
        <a:prstGeom prst="bentConnector3">
          <a:avLst>
            <a:gd name="adj1" fmla="val 75715"/>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1896717</xdr:colOff>
      <xdr:row>774</xdr:row>
      <xdr:rowOff>99391</xdr:rowOff>
    </xdr:from>
    <xdr:to>
      <xdr:col>3</xdr:col>
      <xdr:colOff>795130</xdr:colOff>
      <xdr:row>774</xdr:row>
      <xdr:rowOff>99391</xdr:rowOff>
    </xdr:to>
    <xdr:cxnSp macro="">
      <xdr:nvCxnSpPr>
        <xdr:cNvPr id="98" name="Rechte verbindingslijn met pijl 97"/>
        <xdr:cNvCxnSpPr/>
      </xdr:nvCxnSpPr>
      <xdr:spPr>
        <a:xfrm>
          <a:off x="2153478" y="136455978"/>
          <a:ext cx="4025348" cy="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745440</xdr:colOff>
      <xdr:row>804</xdr:row>
      <xdr:rowOff>0</xdr:rowOff>
    </xdr:from>
    <xdr:to>
      <xdr:col>1</xdr:col>
      <xdr:colOff>745441</xdr:colOff>
      <xdr:row>806</xdr:row>
      <xdr:rowOff>0</xdr:rowOff>
    </xdr:to>
    <xdr:cxnSp macro="">
      <xdr:nvCxnSpPr>
        <xdr:cNvPr id="100" name="Rechte verbindingslijn met pijl 99"/>
        <xdr:cNvCxnSpPr/>
      </xdr:nvCxnSpPr>
      <xdr:spPr>
        <a:xfrm>
          <a:off x="1002201" y="141674022"/>
          <a:ext cx="1" cy="331304"/>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3851413</xdr:colOff>
      <xdr:row>804</xdr:row>
      <xdr:rowOff>66261</xdr:rowOff>
    </xdr:from>
    <xdr:to>
      <xdr:col>2</xdr:col>
      <xdr:colOff>869674</xdr:colOff>
      <xdr:row>804</xdr:row>
      <xdr:rowOff>66261</xdr:rowOff>
    </xdr:to>
    <xdr:cxnSp macro="">
      <xdr:nvCxnSpPr>
        <xdr:cNvPr id="105" name="Rechte verbindingslijn met pijl 104"/>
        <xdr:cNvCxnSpPr/>
      </xdr:nvCxnSpPr>
      <xdr:spPr>
        <a:xfrm>
          <a:off x="4108174" y="141740283"/>
          <a:ext cx="1093304" cy="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editAs="oneCell">
    <xdr:from>
      <xdr:col>4</xdr:col>
      <xdr:colOff>695325</xdr:colOff>
      <xdr:row>15</xdr:row>
      <xdr:rowOff>66675</xdr:rowOff>
    </xdr:from>
    <xdr:to>
      <xdr:col>6</xdr:col>
      <xdr:colOff>762000</xdr:colOff>
      <xdr:row>19</xdr:row>
      <xdr:rowOff>142875</xdr:rowOff>
    </xdr:to>
    <xdr:pic>
      <xdr:nvPicPr>
        <xdr:cNvPr id="14231" name="Picture 2">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7124700" y="2857500"/>
          <a:ext cx="2333625" cy="723900"/>
        </a:xfrm>
        <a:prstGeom prst="rect">
          <a:avLst/>
        </a:prstGeom>
        <a:noFill/>
        <a:ln w="1">
          <a:noFill/>
          <a:miter lim="800000"/>
          <a:headEnd/>
          <a:tailEnd/>
        </a:ln>
      </xdr:spPr>
    </xdr:pic>
    <xdr:clientData/>
  </xdr:twoCellAnchor>
  <xdr:twoCellAnchor editAs="oneCell">
    <xdr:from>
      <xdr:col>4</xdr:col>
      <xdr:colOff>695325</xdr:colOff>
      <xdr:row>20</xdr:row>
      <xdr:rowOff>66675</xdr:rowOff>
    </xdr:from>
    <xdr:to>
      <xdr:col>6</xdr:col>
      <xdr:colOff>762000</xdr:colOff>
      <xdr:row>24</xdr:row>
      <xdr:rowOff>133350</xdr:rowOff>
    </xdr:to>
    <xdr:pic>
      <xdr:nvPicPr>
        <xdr:cNvPr id="14232" name="Picture 3">
          <a:hlinkClick xmlns:r="http://schemas.openxmlformats.org/officeDocument/2006/relationships" r:id="rId3"/>
        </xdr:cNvPr>
        <xdr:cNvPicPr>
          <a:picLocks noChangeAspect="1" noChangeArrowheads="1"/>
        </xdr:cNvPicPr>
      </xdr:nvPicPr>
      <xdr:blipFill>
        <a:blip xmlns:r="http://schemas.openxmlformats.org/officeDocument/2006/relationships" r:embed="rId4" cstate="print"/>
        <a:srcRect/>
        <a:stretch>
          <a:fillRect/>
        </a:stretch>
      </xdr:blipFill>
      <xdr:spPr bwMode="auto">
        <a:xfrm>
          <a:off x="7124700" y="3667125"/>
          <a:ext cx="2333625" cy="714375"/>
        </a:xfrm>
        <a:prstGeom prst="rect">
          <a:avLst/>
        </a:prstGeom>
        <a:noFill/>
        <a:ln w="1">
          <a:noFill/>
          <a:miter lim="800000"/>
          <a:headEnd/>
          <a:tailEnd/>
        </a:ln>
      </xdr:spPr>
    </xdr:pic>
    <xdr:clientData/>
  </xdr:twoCellAnchor>
  <xdr:twoCellAnchor editAs="oneCell">
    <xdr:from>
      <xdr:col>4</xdr:col>
      <xdr:colOff>685800</xdr:colOff>
      <xdr:row>25</xdr:row>
      <xdr:rowOff>57150</xdr:rowOff>
    </xdr:from>
    <xdr:to>
      <xdr:col>6</xdr:col>
      <xdr:colOff>771525</xdr:colOff>
      <xdr:row>29</xdr:row>
      <xdr:rowOff>114300</xdr:rowOff>
    </xdr:to>
    <xdr:pic>
      <xdr:nvPicPr>
        <xdr:cNvPr id="14233" name="Picture 4">
          <a:hlinkClick xmlns:r="http://schemas.openxmlformats.org/officeDocument/2006/relationships" r:id="rId5"/>
        </xdr:cNvPr>
        <xdr:cNvPicPr>
          <a:picLocks noChangeAspect="1" noChangeArrowheads="1"/>
        </xdr:cNvPicPr>
      </xdr:nvPicPr>
      <xdr:blipFill>
        <a:blip xmlns:r="http://schemas.openxmlformats.org/officeDocument/2006/relationships" r:embed="rId6" cstate="print"/>
        <a:srcRect/>
        <a:stretch>
          <a:fillRect/>
        </a:stretch>
      </xdr:blipFill>
      <xdr:spPr bwMode="auto">
        <a:xfrm>
          <a:off x="7115175" y="4467225"/>
          <a:ext cx="2352675" cy="704850"/>
        </a:xfrm>
        <a:prstGeom prst="rect">
          <a:avLst/>
        </a:prstGeom>
        <a:noFill/>
        <a:ln w="1">
          <a:noFill/>
          <a:miter lim="800000"/>
          <a:headEnd/>
          <a:tailEnd/>
        </a:ln>
      </xdr:spPr>
    </xdr:pic>
    <xdr:clientData/>
  </xdr:twoCellAnchor>
  <xdr:twoCellAnchor editAs="oneCell">
    <xdr:from>
      <xdr:col>3</xdr:col>
      <xdr:colOff>638175</xdr:colOff>
      <xdr:row>34</xdr:row>
      <xdr:rowOff>19050</xdr:rowOff>
    </xdr:from>
    <xdr:to>
      <xdr:col>7</xdr:col>
      <xdr:colOff>933450</xdr:colOff>
      <xdr:row>37</xdr:row>
      <xdr:rowOff>142875</xdr:rowOff>
    </xdr:to>
    <xdr:pic>
      <xdr:nvPicPr>
        <xdr:cNvPr id="14234" name="Picture 5">
          <a:hlinkClick xmlns:r="http://schemas.openxmlformats.org/officeDocument/2006/relationships" r:id="rId7"/>
        </xdr:cNvPr>
        <xdr:cNvPicPr>
          <a:picLocks noChangeAspect="1" noChangeArrowheads="1"/>
        </xdr:cNvPicPr>
      </xdr:nvPicPr>
      <xdr:blipFill>
        <a:blip xmlns:r="http://schemas.openxmlformats.org/officeDocument/2006/relationships" r:embed="rId8" cstate="print"/>
        <a:srcRect/>
        <a:stretch>
          <a:fillRect/>
        </a:stretch>
      </xdr:blipFill>
      <xdr:spPr bwMode="auto">
        <a:xfrm>
          <a:off x="5953125" y="5886450"/>
          <a:ext cx="4791075" cy="609600"/>
        </a:xfrm>
        <a:prstGeom prst="rect">
          <a:avLst/>
        </a:prstGeom>
        <a:noFill/>
        <a:ln w="1">
          <a:noFill/>
          <a:miter lim="800000"/>
          <a:headEnd/>
          <a:tailEnd/>
        </a:ln>
      </xdr:spPr>
    </xdr:pic>
    <xdr:clientData/>
  </xdr:twoCellAnchor>
  <xdr:twoCellAnchor editAs="oneCell">
    <xdr:from>
      <xdr:col>4</xdr:col>
      <xdr:colOff>561975</xdr:colOff>
      <xdr:row>56</xdr:row>
      <xdr:rowOff>9525</xdr:rowOff>
    </xdr:from>
    <xdr:to>
      <xdr:col>5</xdr:col>
      <xdr:colOff>485775</xdr:colOff>
      <xdr:row>57</xdr:row>
      <xdr:rowOff>0</xdr:rowOff>
    </xdr:to>
    <xdr:pic>
      <xdr:nvPicPr>
        <xdr:cNvPr id="14235" name="Picture 6" descr="HAND-uitleg">
          <a:hlinkClick xmlns:r="http://schemas.openxmlformats.org/officeDocument/2006/relationships" r:id="rId9"/>
        </xdr:cNvPr>
        <xdr:cNvPicPr>
          <a:picLocks noChangeAspect="1" noChangeArrowheads="1"/>
        </xdr:cNvPicPr>
      </xdr:nvPicPr>
      <xdr:blipFill>
        <a:blip xmlns:r="http://schemas.openxmlformats.org/officeDocument/2006/relationships" r:embed="rId10" cstate="print"/>
        <a:srcRect/>
        <a:stretch>
          <a:fillRect/>
        </a:stretch>
      </xdr:blipFill>
      <xdr:spPr bwMode="auto">
        <a:xfrm>
          <a:off x="6991350" y="9439275"/>
          <a:ext cx="1038225" cy="142875"/>
        </a:xfrm>
        <a:prstGeom prst="rect">
          <a:avLst/>
        </a:prstGeom>
        <a:noFill/>
        <a:ln w="9525">
          <a:noFill/>
          <a:miter lim="800000"/>
          <a:headEnd/>
          <a:tailEnd/>
        </a:ln>
      </xdr:spPr>
    </xdr:pic>
    <xdr:clientData/>
  </xdr:twoCellAnchor>
  <xdr:twoCellAnchor editAs="oneCell">
    <xdr:from>
      <xdr:col>5</xdr:col>
      <xdr:colOff>752475</xdr:colOff>
      <xdr:row>56</xdr:row>
      <xdr:rowOff>9525</xdr:rowOff>
    </xdr:from>
    <xdr:to>
      <xdr:col>6</xdr:col>
      <xdr:colOff>638175</xdr:colOff>
      <xdr:row>57</xdr:row>
      <xdr:rowOff>0</xdr:rowOff>
    </xdr:to>
    <xdr:pic>
      <xdr:nvPicPr>
        <xdr:cNvPr id="14236" name="Picture 7" descr="HAND-uitleg">
          <a:hlinkClick xmlns:r="http://schemas.openxmlformats.org/officeDocument/2006/relationships" r:id="rId11"/>
        </xdr:cNvPr>
        <xdr:cNvPicPr>
          <a:picLocks noChangeAspect="1" noChangeArrowheads="1"/>
        </xdr:cNvPicPr>
      </xdr:nvPicPr>
      <xdr:blipFill>
        <a:blip xmlns:r="http://schemas.openxmlformats.org/officeDocument/2006/relationships" r:embed="rId10" cstate="print"/>
        <a:srcRect/>
        <a:stretch>
          <a:fillRect/>
        </a:stretch>
      </xdr:blipFill>
      <xdr:spPr bwMode="auto">
        <a:xfrm>
          <a:off x="8296275" y="9439275"/>
          <a:ext cx="1038225" cy="142875"/>
        </a:xfrm>
        <a:prstGeom prst="rect">
          <a:avLst/>
        </a:prstGeom>
        <a:noFill/>
        <a:ln w="9525">
          <a:noFill/>
          <a:miter lim="800000"/>
          <a:headEnd/>
          <a:tailEnd/>
        </a:ln>
      </xdr:spPr>
    </xdr:pic>
    <xdr:clientData/>
  </xdr:twoCellAnchor>
  <xdr:twoCellAnchor editAs="oneCell">
    <xdr:from>
      <xdr:col>5</xdr:col>
      <xdr:colOff>285750</xdr:colOff>
      <xdr:row>58</xdr:row>
      <xdr:rowOff>9525</xdr:rowOff>
    </xdr:from>
    <xdr:to>
      <xdr:col>5</xdr:col>
      <xdr:colOff>1104900</xdr:colOff>
      <xdr:row>62</xdr:row>
      <xdr:rowOff>19050</xdr:rowOff>
    </xdr:to>
    <xdr:pic>
      <xdr:nvPicPr>
        <xdr:cNvPr id="14237" name="Picture 8" descr="PCLINKS">
          <a:hlinkClick xmlns:r="http://schemas.openxmlformats.org/officeDocument/2006/relationships" r:id="rId12"/>
        </xdr:cNvPr>
        <xdr:cNvPicPr>
          <a:picLocks noChangeAspect="1" noChangeArrowheads="1"/>
        </xdr:cNvPicPr>
      </xdr:nvPicPr>
      <xdr:blipFill>
        <a:blip xmlns:r="http://schemas.openxmlformats.org/officeDocument/2006/relationships" r:embed="rId13" cstate="print"/>
        <a:srcRect/>
        <a:stretch>
          <a:fillRect/>
        </a:stretch>
      </xdr:blipFill>
      <xdr:spPr bwMode="auto">
        <a:xfrm>
          <a:off x="7829550" y="9763125"/>
          <a:ext cx="819150" cy="657225"/>
        </a:xfrm>
        <a:prstGeom prst="rect">
          <a:avLst/>
        </a:prstGeom>
        <a:noFill/>
        <a:ln w="9525">
          <a:noFill/>
          <a:miter lim="800000"/>
          <a:headEnd/>
          <a:tailEnd/>
        </a:ln>
      </xdr:spPr>
    </xdr:pic>
    <xdr:clientData/>
  </xdr:twoCellAnchor>
  <xdr:twoCellAnchor>
    <xdr:from>
      <xdr:col>3</xdr:col>
      <xdr:colOff>504825</xdr:colOff>
      <xdr:row>113</xdr:row>
      <xdr:rowOff>0</xdr:rowOff>
    </xdr:from>
    <xdr:to>
      <xdr:col>3</xdr:col>
      <xdr:colOff>1104900</xdr:colOff>
      <xdr:row>113</xdr:row>
      <xdr:rowOff>152400</xdr:rowOff>
    </xdr:to>
    <xdr:sp macro="" textlink="">
      <xdr:nvSpPr>
        <xdr:cNvPr id="14238" name="Line 9"/>
        <xdr:cNvSpPr>
          <a:spLocks noChangeShapeType="1"/>
        </xdr:cNvSpPr>
      </xdr:nvSpPr>
      <xdr:spPr bwMode="auto">
        <a:xfrm flipH="1">
          <a:off x="5819775" y="12344400"/>
          <a:ext cx="600075" cy="152400"/>
        </a:xfrm>
        <a:prstGeom prst="line">
          <a:avLst/>
        </a:prstGeom>
        <a:noFill/>
        <a:ln w="9525">
          <a:solidFill>
            <a:srgbClr val="000000"/>
          </a:solidFill>
          <a:round/>
          <a:headEnd/>
          <a:tailEnd/>
        </a:ln>
      </xdr:spPr>
    </xdr:sp>
    <xdr:clientData/>
  </xdr:twoCellAnchor>
  <xdr:twoCellAnchor>
    <xdr:from>
      <xdr:col>5</xdr:col>
      <xdr:colOff>9525</xdr:colOff>
      <xdr:row>112</xdr:row>
      <xdr:rowOff>152400</xdr:rowOff>
    </xdr:from>
    <xdr:to>
      <xdr:col>5</xdr:col>
      <xdr:colOff>542925</xdr:colOff>
      <xdr:row>113</xdr:row>
      <xdr:rowOff>152400</xdr:rowOff>
    </xdr:to>
    <xdr:sp macro="" textlink="">
      <xdr:nvSpPr>
        <xdr:cNvPr id="14239" name="Line 10"/>
        <xdr:cNvSpPr>
          <a:spLocks noChangeShapeType="1"/>
        </xdr:cNvSpPr>
      </xdr:nvSpPr>
      <xdr:spPr bwMode="auto">
        <a:xfrm>
          <a:off x="7553325" y="12334875"/>
          <a:ext cx="533400" cy="161925"/>
        </a:xfrm>
        <a:prstGeom prst="line">
          <a:avLst/>
        </a:prstGeom>
        <a:noFill/>
        <a:ln w="9525">
          <a:solidFill>
            <a:srgbClr val="000000"/>
          </a:solidFill>
          <a:round/>
          <a:headEnd/>
          <a:tailEnd/>
        </a:ln>
      </xdr:spPr>
    </xdr:sp>
    <xdr:clientData/>
  </xdr:twoCellAnchor>
  <xdr:twoCellAnchor>
    <xdr:from>
      <xdr:col>3</xdr:col>
      <xdr:colOff>504825</xdr:colOff>
      <xdr:row>115</xdr:row>
      <xdr:rowOff>19050</xdr:rowOff>
    </xdr:from>
    <xdr:to>
      <xdr:col>3</xdr:col>
      <xdr:colOff>504825</xdr:colOff>
      <xdr:row>115</xdr:row>
      <xdr:rowOff>152400</xdr:rowOff>
    </xdr:to>
    <xdr:sp macro="" textlink="">
      <xdr:nvSpPr>
        <xdr:cNvPr id="14240" name="Line 11"/>
        <xdr:cNvSpPr>
          <a:spLocks noChangeShapeType="1"/>
        </xdr:cNvSpPr>
      </xdr:nvSpPr>
      <xdr:spPr bwMode="auto">
        <a:xfrm>
          <a:off x="5819775" y="12687300"/>
          <a:ext cx="0" cy="133350"/>
        </a:xfrm>
        <a:prstGeom prst="line">
          <a:avLst/>
        </a:prstGeom>
        <a:noFill/>
        <a:ln w="9525">
          <a:solidFill>
            <a:srgbClr val="000000"/>
          </a:solidFill>
          <a:round/>
          <a:headEnd/>
          <a:tailEnd type="triangle" w="med" len="med"/>
        </a:ln>
      </xdr:spPr>
    </xdr:sp>
    <xdr:clientData/>
  </xdr:twoCellAnchor>
  <xdr:twoCellAnchor>
    <xdr:from>
      <xdr:col>3</xdr:col>
      <xdr:colOff>514350</xdr:colOff>
      <xdr:row>118</xdr:row>
      <xdr:rowOff>9525</xdr:rowOff>
    </xdr:from>
    <xdr:to>
      <xdr:col>3</xdr:col>
      <xdr:colOff>514350</xdr:colOff>
      <xdr:row>118</xdr:row>
      <xdr:rowOff>142875</xdr:rowOff>
    </xdr:to>
    <xdr:sp macro="" textlink="">
      <xdr:nvSpPr>
        <xdr:cNvPr id="14241" name="Line 12"/>
        <xdr:cNvSpPr>
          <a:spLocks noChangeShapeType="1"/>
        </xdr:cNvSpPr>
      </xdr:nvSpPr>
      <xdr:spPr bwMode="auto">
        <a:xfrm>
          <a:off x="5829300" y="13163550"/>
          <a:ext cx="0" cy="133350"/>
        </a:xfrm>
        <a:prstGeom prst="line">
          <a:avLst/>
        </a:prstGeom>
        <a:noFill/>
        <a:ln w="9525">
          <a:solidFill>
            <a:srgbClr val="000000"/>
          </a:solidFill>
          <a:round/>
          <a:headEnd/>
          <a:tailEnd type="triangle" w="med" len="med"/>
        </a:ln>
      </xdr:spPr>
    </xdr:sp>
    <xdr:clientData/>
  </xdr:twoCellAnchor>
  <xdr:twoCellAnchor>
    <xdr:from>
      <xdr:col>5</xdr:col>
      <xdr:colOff>561975</xdr:colOff>
      <xdr:row>115</xdr:row>
      <xdr:rowOff>38100</xdr:rowOff>
    </xdr:from>
    <xdr:to>
      <xdr:col>5</xdr:col>
      <xdr:colOff>571500</xdr:colOff>
      <xdr:row>118</xdr:row>
      <xdr:rowOff>133350</xdr:rowOff>
    </xdr:to>
    <xdr:sp macro="" textlink="">
      <xdr:nvSpPr>
        <xdr:cNvPr id="14242" name="Line 14"/>
        <xdr:cNvSpPr>
          <a:spLocks noChangeShapeType="1"/>
        </xdr:cNvSpPr>
      </xdr:nvSpPr>
      <xdr:spPr bwMode="auto">
        <a:xfrm>
          <a:off x="8105775" y="12706350"/>
          <a:ext cx="9525" cy="581025"/>
        </a:xfrm>
        <a:prstGeom prst="line">
          <a:avLst/>
        </a:prstGeom>
        <a:noFill/>
        <a:ln w="9525">
          <a:solidFill>
            <a:srgbClr val="000000"/>
          </a:solidFill>
          <a:round/>
          <a:headEnd/>
          <a:tailEnd type="triangle" w="med" len="med"/>
        </a:ln>
      </xdr:spPr>
    </xdr:sp>
    <xdr:clientData/>
  </xdr:twoCellAnchor>
  <xdr:twoCellAnchor>
    <xdr:from>
      <xdr:col>4</xdr:col>
      <xdr:colOff>361950</xdr:colOff>
      <xdr:row>116</xdr:row>
      <xdr:rowOff>47625</xdr:rowOff>
    </xdr:from>
    <xdr:to>
      <xdr:col>4</xdr:col>
      <xdr:colOff>800100</xdr:colOff>
      <xdr:row>118</xdr:row>
      <xdr:rowOff>142875</xdr:rowOff>
    </xdr:to>
    <xdr:sp macro="" textlink="">
      <xdr:nvSpPr>
        <xdr:cNvPr id="14243" name="Oval 15"/>
        <xdr:cNvSpPr>
          <a:spLocks noChangeArrowheads="1"/>
        </xdr:cNvSpPr>
      </xdr:nvSpPr>
      <xdr:spPr bwMode="auto">
        <a:xfrm>
          <a:off x="6791325" y="12877800"/>
          <a:ext cx="438150" cy="419100"/>
        </a:xfrm>
        <a:prstGeom prst="ellipse">
          <a:avLst/>
        </a:prstGeom>
        <a:noFill/>
        <a:ln w="9525">
          <a:solidFill>
            <a:srgbClr val="000000"/>
          </a:solidFill>
          <a:round/>
          <a:headEnd/>
          <a:tailEnd/>
        </a:ln>
      </xdr:spPr>
    </xdr:sp>
    <xdr:clientData/>
  </xdr:twoCellAnchor>
  <xdr:twoCellAnchor editAs="oneCell">
    <xdr:from>
      <xdr:col>1</xdr:col>
      <xdr:colOff>1419225</xdr:colOff>
      <xdr:row>134</xdr:row>
      <xdr:rowOff>142875</xdr:rowOff>
    </xdr:from>
    <xdr:to>
      <xdr:col>1</xdr:col>
      <xdr:colOff>2895600</xdr:colOff>
      <xdr:row>143</xdr:row>
      <xdr:rowOff>161192</xdr:rowOff>
    </xdr:to>
    <xdr:pic>
      <xdr:nvPicPr>
        <xdr:cNvPr id="14244" name="Picture 22" descr="mannetje&amp;schaduw-met-vraagtekenhoofd">
          <a:hlinkClick xmlns:r="http://schemas.openxmlformats.org/officeDocument/2006/relationships" r:id="rId14"/>
        </xdr:cNvPr>
        <xdr:cNvPicPr>
          <a:picLocks noChangeAspect="1" noChangeArrowheads="1"/>
        </xdr:cNvPicPr>
      </xdr:nvPicPr>
      <xdr:blipFill>
        <a:blip xmlns:r="http://schemas.openxmlformats.org/officeDocument/2006/relationships" r:embed="rId15" cstate="print"/>
        <a:srcRect/>
        <a:stretch>
          <a:fillRect/>
        </a:stretch>
      </xdr:blipFill>
      <xdr:spPr bwMode="auto">
        <a:xfrm>
          <a:off x="1676400" y="15906750"/>
          <a:ext cx="1476375" cy="1466850"/>
        </a:xfrm>
        <a:prstGeom prst="rect">
          <a:avLst/>
        </a:prstGeom>
        <a:noFill/>
        <a:ln w="9525">
          <a:noFill/>
          <a:miter lim="800000"/>
          <a:headEnd/>
          <a:tailEnd/>
        </a:ln>
      </xdr:spPr>
    </xdr:pic>
    <xdr:clientData/>
  </xdr:twoCellAnchor>
  <xdr:twoCellAnchor editAs="oneCell">
    <xdr:from>
      <xdr:col>1</xdr:col>
      <xdr:colOff>1143000</xdr:colOff>
      <xdr:row>161</xdr:row>
      <xdr:rowOff>57150</xdr:rowOff>
    </xdr:from>
    <xdr:to>
      <xdr:col>1</xdr:col>
      <xdr:colOff>2619375</xdr:colOff>
      <xdr:row>170</xdr:row>
      <xdr:rowOff>76200</xdr:rowOff>
    </xdr:to>
    <xdr:pic>
      <xdr:nvPicPr>
        <xdr:cNvPr id="14245" name="Picture 23" descr="mannetje&amp;schaduw-zonder-hoofd">
          <a:hlinkClick xmlns:r="http://schemas.openxmlformats.org/officeDocument/2006/relationships" r:id="rId16"/>
        </xdr:cNvPr>
        <xdr:cNvPicPr>
          <a:picLocks noChangeAspect="1" noChangeArrowheads="1"/>
        </xdr:cNvPicPr>
      </xdr:nvPicPr>
      <xdr:blipFill>
        <a:blip xmlns:r="http://schemas.openxmlformats.org/officeDocument/2006/relationships" r:embed="rId17" cstate="print"/>
        <a:srcRect/>
        <a:stretch>
          <a:fillRect/>
        </a:stretch>
      </xdr:blipFill>
      <xdr:spPr bwMode="auto">
        <a:xfrm>
          <a:off x="1400175" y="20212050"/>
          <a:ext cx="1476375" cy="1476375"/>
        </a:xfrm>
        <a:prstGeom prst="rect">
          <a:avLst/>
        </a:prstGeom>
        <a:noFill/>
        <a:ln w="9525">
          <a:noFill/>
          <a:miter lim="800000"/>
          <a:headEnd/>
          <a:tailEnd/>
        </a:ln>
      </xdr:spPr>
    </xdr:pic>
    <xdr:clientData/>
  </xdr:twoCellAnchor>
  <xdr:twoCellAnchor>
    <xdr:from>
      <xdr:col>4</xdr:col>
      <xdr:colOff>219075</xdr:colOff>
      <xdr:row>211</xdr:row>
      <xdr:rowOff>85725</xdr:rowOff>
    </xdr:from>
    <xdr:to>
      <xdr:col>5</xdr:col>
      <xdr:colOff>66675</xdr:colOff>
      <xdr:row>211</xdr:row>
      <xdr:rowOff>85725</xdr:rowOff>
    </xdr:to>
    <xdr:sp macro="" textlink="">
      <xdr:nvSpPr>
        <xdr:cNvPr id="14246" name="Line 24"/>
        <xdr:cNvSpPr>
          <a:spLocks noChangeShapeType="1"/>
        </xdr:cNvSpPr>
      </xdr:nvSpPr>
      <xdr:spPr bwMode="auto">
        <a:xfrm>
          <a:off x="6648450" y="28355925"/>
          <a:ext cx="962025" cy="0"/>
        </a:xfrm>
        <a:prstGeom prst="line">
          <a:avLst/>
        </a:prstGeom>
        <a:noFill/>
        <a:ln w="9525">
          <a:solidFill>
            <a:srgbClr val="000000"/>
          </a:solidFill>
          <a:round/>
          <a:headEnd/>
          <a:tailEnd type="triangle" w="med" len="med"/>
        </a:ln>
      </xdr:spPr>
    </xdr:sp>
    <xdr:clientData/>
  </xdr:twoCellAnchor>
  <xdr:twoCellAnchor>
    <xdr:from>
      <xdr:col>4</xdr:col>
      <xdr:colOff>219075</xdr:colOff>
      <xdr:row>215</xdr:row>
      <xdr:rowOff>104775</xdr:rowOff>
    </xdr:from>
    <xdr:to>
      <xdr:col>5</xdr:col>
      <xdr:colOff>66675</xdr:colOff>
      <xdr:row>215</xdr:row>
      <xdr:rowOff>104775</xdr:rowOff>
    </xdr:to>
    <xdr:sp macro="" textlink="">
      <xdr:nvSpPr>
        <xdr:cNvPr id="14247" name="Line 25"/>
        <xdr:cNvSpPr>
          <a:spLocks noChangeShapeType="1"/>
        </xdr:cNvSpPr>
      </xdr:nvSpPr>
      <xdr:spPr bwMode="auto">
        <a:xfrm flipH="1">
          <a:off x="6648450" y="29022675"/>
          <a:ext cx="962025" cy="0"/>
        </a:xfrm>
        <a:prstGeom prst="line">
          <a:avLst/>
        </a:prstGeom>
        <a:noFill/>
        <a:ln w="9525">
          <a:solidFill>
            <a:srgbClr val="000000"/>
          </a:solidFill>
          <a:round/>
          <a:headEnd/>
          <a:tailEnd type="triangle" w="med" len="med"/>
        </a:ln>
      </xdr:spPr>
    </xdr:sp>
    <xdr:clientData/>
  </xdr:twoCellAnchor>
  <xdr:twoCellAnchor>
    <xdr:from>
      <xdr:col>5</xdr:col>
      <xdr:colOff>1114425</xdr:colOff>
      <xdr:row>215</xdr:row>
      <xdr:rowOff>104775</xdr:rowOff>
    </xdr:from>
    <xdr:to>
      <xdr:col>6</xdr:col>
      <xdr:colOff>933450</xdr:colOff>
      <xdr:row>215</xdr:row>
      <xdr:rowOff>104775</xdr:rowOff>
    </xdr:to>
    <xdr:sp macro="" textlink="">
      <xdr:nvSpPr>
        <xdr:cNvPr id="14248" name="Line 26"/>
        <xdr:cNvSpPr>
          <a:spLocks noChangeShapeType="1"/>
        </xdr:cNvSpPr>
      </xdr:nvSpPr>
      <xdr:spPr bwMode="auto">
        <a:xfrm flipH="1">
          <a:off x="8658225" y="29022675"/>
          <a:ext cx="971550" cy="0"/>
        </a:xfrm>
        <a:prstGeom prst="line">
          <a:avLst/>
        </a:prstGeom>
        <a:noFill/>
        <a:ln w="9525">
          <a:solidFill>
            <a:srgbClr val="000000"/>
          </a:solidFill>
          <a:round/>
          <a:headEnd/>
          <a:tailEnd type="triangle" w="med" len="med"/>
        </a:ln>
      </xdr:spPr>
    </xdr:sp>
    <xdr:clientData/>
  </xdr:twoCellAnchor>
  <xdr:twoCellAnchor>
    <xdr:from>
      <xdr:col>5</xdr:col>
      <xdr:colOff>1133475</xdr:colOff>
      <xdr:row>211</xdr:row>
      <xdr:rowOff>85725</xdr:rowOff>
    </xdr:from>
    <xdr:to>
      <xdr:col>6</xdr:col>
      <xdr:colOff>942975</xdr:colOff>
      <xdr:row>211</xdr:row>
      <xdr:rowOff>85725</xdr:rowOff>
    </xdr:to>
    <xdr:sp macro="" textlink="">
      <xdr:nvSpPr>
        <xdr:cNvPr id="14249" name="Line 27"/>
        <xdr:cNvSpPr>
          <a:spLocks noChangeShapeType="1"/>
        </xdr:cNvSpPr>
      </xdr:nvSpPr>
      <xdr:spPr bwMode="auto">
        <a:xfrm>
          <a:off x="8677275" y="28355925"/>
          <a:ext cx="962025" cy="0"/>
        </a:xfrm>
        <a:prstGeom prst="line">
          <a:avLst/>
        </a:prstGeom>
        <a:noFill/>
        <a:ln w="9525">
          <a:solidFill>
            <a:srgbClr val="000000"/>
          </a:solidFill>
          <a:round/>
          <a:headEnd/>
          <a:tailEnd type="triangle" w="med" len="med"/>
        </a:ln>
      </xdr:spPr>
    </xdr:sp>
    <xdr:clientData/>
  </xdr:twoCellAnchor>
  <xdr:twoCellAnchor>
    <xdr:from>
      <xdr:col>7</xdr:col>
      <xdr:colOff>571500</xdr:colOff>
      <xdr:row>212</xdr:row>
      <xdr:rowOff>66675</xdr:rowOff>
    </xdr:from>
    <xdr:to>
      <xdr:col>7</xdr:col>
      <xdr:colOff>571500</xdr:colOff>
      <xdr:row>214</xdr:row>
      <xdr:rowOff>95250</xdr:rowOff>
    </xdr:to>
    <xdr:sp macro="" textlink="">
      <xdr:nvSpPr>
        <xdr:cNvPr id="14250" name="Line 28"/>
        <xdr:cNvSpPr>
          <a:spLocks noChangeShapeType="1"/>
        </xdr:cNvSpPr>
      </xdr:nvSpPr>
      <xdr:spPr bwMode="auto">
        <a:xfrm>
          <a:off x="10382250" y="28498800"/>
          <a:ext cx="0" cy="352425"/>
        </a:xfrm>
        <a:prstGeom prst="line">
          <a:avLst/>
        </a:prstGeom>
        <a:noFill/>
        <a:ln w="9525">
          <a:solidFill>
            <a:srgbClr val="000000"/>
          </a:solidFill>
          <a:round/>
          <a:headEnd/>
          <a:tailEnd type="triangle" w="med" len="med"/>
        </a:ln>
      </xdr:spPr>
    </xdr:sp>
    <xdr:clientData/>
  </xdr:twoCellAnchor>
  <xdr:oneCellAnchor>
    <xdr:from>
      <xdr:col>4</xdr:col>
      <xdr:colOff>0</xdr:colOff>
      <xdr:row>210</xdr:row>
      <xdr:rowOff>104775</xdr:rowOff>
    </xdr:from>
    <xdr:ext cx="171714" cy="302390"/>
    <xdr:sp macro="" textlink="">
      <xdr:nvSpPr>
        <xdr:cNvPr id="13341" name="Text Box 29"/>
        <xdr:cNvSpPr txBox="1">
          <a:spLocks noChangeArrowheads="1"/>
        </xdr:cNvSpPr>
      </xdr:nvSpPr>
      <xdr:spPr bwMode="auto">
        <a:xfrm>
          <a:off x="6429375" y="28213050"/>
          <a:ext cx="171714" cy="302390"/>
        </a:xfrm>
        <a:prstGeom prst="rect">
          <a:avLst/>
        </a:prstGeom>
        <a:noFill/>
        <a:ln w="9525">
          <a:noFill/>
          <a:miter lim="800000"/>
          <a:headEnd/>
          <a:tailEnd/>
        </a:ln>
      </xdr:spPr>
      <xdr:txBody>
        <a:bodyPr wrap="none" lIns="36576" tIns="36576" rIns="0" bIns="0" anchor="t" upright="1">
          <a:spAutoFit/>
        </a:bodyPr>
        <a:lstStyle/>
        <a:p>
          <a:pPr algn="l" rtl="0">
            <a:defRPr sz="1000"/>
          </a:pPr>
          <a:r>
            <a:rPr lang="nl-NL" sz="1800" b="1" i="0" u="none" strike="noStrike" baseline="0">
              <a:solidFill>
                <a:srgbClr val="000000"/>
              </a:solidFill>
              <a:latin typeface="Arial"/>
              <a:cs typeface="Arial"/>
            </a:rPr>
            <a:t>+</a:t>
          </a:r>
        </a:p>
      </xdr:txBody>
    </xdr:sp>
    <xdr:clientData/>
  </xdr:oneCellAnchor>
  <xdr:oneCellAnchor>
    <xdr:from>
      <xdr:col>6</xdr:col>
      <xdr:colOff>933450</xdr:colOff>
      <xdr:row>210</xdr:row>
      <xdr:rowOff>85725</xdr:rowOff>
    </xdr:from>
    <xdr:ext cx="113814" cy="302390"/>
    <xdr:sp macro="" textlink="">
      <xdr:nvSpPr>
        <xdr:cNvPr id="13342" name="Text Box 30"/>
        <xdr:cNvSpPr txBox="1">
          <a:spLocks noChangeArrowheads="1"/>
        </xdr:cNvSpPr>
      </xdr:nvSpPr>
      <xdr:spPr bwMode="auto">
        <a:xfrm>
          <a:off x="9629775" y="28194000"/>
          <a:ext cx="113814" cy="302390"/>
        </a:xfrm>
        <a:prstGeom prst="rect">
          <a:avLst/>
        </a:prstGeom>
        <a:noFill/>
        <a:ln w="9525">
          <a:noFill/>
          <a:miter lim="800000"/>
          <a:headEnd/>
          <a:tailEnd/>
        </a:ln>
      </xdr:spPr>
      <xdr:txBody>
        <a:bodyPr wrap="none" lIns="36576" tIns="36576" rIns="0" bIns="0" anchor="t" upright="1">
          <a:spAutoFit/>
        </a:bodyPr>
        <a:lstStyle/>
        <a:p>
          <a:pPr algn="l" rtl="0">
            <a:defRPr sz="1000"/>
          </a:pPr>
          <a:r>
            <a:rPr lang="nl-NL" sz="1800" b="1" i="0" u="none" strike="noStrike" baseline="0">
              <a:solidFill>
                <a:srgbClr val="000000"/>
              </a:solidFill>
              <a:latin typeface="Arial"/>
              <a:cs typeface="Arial"/>
            </a:rPr>
            <a:t>-</a:t>
          </a:r>
        </a:p>
      </xdr:txBody>
    </xdr:sp>
    <xdr:clientData/>
  </xdr:oneCellAnchor>
  <xdr:oneCellAnchor>
    <xdr:from>
      <xdr:col>6</xdr:col>
      <xdr:colOff>914400</xdr:colOff>
      <xdr:row>214</xdr:row>
      <xdr:rowOff>114300</xdr:rowOff>
    </xdr:from>
    <xdr:ext cx="171714" cy="302390"/>
    <xdr:sp macro="" textlink="">
      <xdr:nvSpPr>
        <xdr:cNvPr id="13343" name="Text Box 31"/>
        <xdr:cNvSpPr txBox="1">
          <a:spLocks noChangeArrowheads="1"/>
        </xdr:cNvSpPr>
      </xdr:nvSpPr>
      <xdr:spPr bwMode="auto">
        <a:xfrm>
          <a:off x="9610725" y="28870275"/>
          <a:ext cx="171714" cy="302390"/>
        </a:xfrm>
        <a:prstGeom prst="rect">
          <a:avLst/>
        </a:prstGeom>
        <a:noFill/>
        <a:ln w="9525">
          <a:noFill/>
          <a:miter lim="800000"/>
          <a:headEnd/>
          <a:tailEnd/>
        </a:ln>
      </xdr:spPr>
      <xdr:txBody>
        <a:bodyPr wrap="none" lIns="36576" tIns="36576" rIns="0" bIns="0" anchor="t" upright="1">
          <a:spAutoFit/>
        </a:bodyPr>
        <a:lstStyle/>
        <a:p>
          <a:pPr algn="l" rtl="0">
            <a:defRPr sz="1000"/>
          </a:pPr>
          <a:r>
            <a:rPr lang="nl-NL" sz="1800" b="1" i="0" u="none" strike="noStrike" baseline="0">
              <a:solidFill>
                <a:srgbClr val="000000"/>
              </a:solidFill>
              <a:latin typeface="Arial"/>
              <a:cs typeface="Arial"/>
            </a:rPr>
            <a:t>+</a:t>
          </a:r>
        </a:p>
      </xdr:txBody>
    </xdr:sp>
    <xdr:clientData/>
  </xdr:oneCellAnchor>
  <xdr:oneCellAnchor>
    <xdr:from>
      <xdr:col>4</xdr:col>
      <xdr:colOff>19050</xdr:colOff>
      <xdr:row>214</xdr:row>
      <xdr:rowOff>95250</xdr:rowOff>
    </xdr:from>
    <xdr:ext cx="113814" cy="302390"/>
    <xdr:sp macro="" textlink="">
      <xdr:nvSpPr>
        <xdr:cNvPr id="13344" name="Text Box 32"/>
        <xdr:cNvSpPr txBox="1">
          <a:spLocks noChangeArrowheads="1"/>
        </xdr:cNvSpPr>
      </xdr:nvSpPr>
      <xdr:spPr bwMode="auto">
        <a:xfrm>
          <a:off x="6448425" y="28851225"/>
          <a:ext cx="113814" cy="302390"/>
        </a:xfrm>
        <a:prstGeom prst="rect">
          <a:avLst/>
        </a:prstGeom>
        <a:noFill/>
        <a:ln w="9525">
          <a:noFill/>
          <a:miter lim="800000"/>
          <a:headEnd/>
          <a:tailEnd/>
        </a:ln>
      </xdr:spPr>
      <xdr:txBody>
        <a:bodyPr wrap="none" lIns="36576" tIns="36576" rIns="0" bIns="0" anchor="t" upright="1">
          <a:spAutoFit/>
        </a:bodyPr>
        <a:lstStyle/>
        <a:p>
          <a:pPr algn="l" rtl="0">
            <a:defRPr sz="1000"/>
          </a:pPr>
          <a:r>
            <a:rPr lang="nl-NL" sz="1800" b="1" i="0" u="none" strike="noStrike" baseline="0">
              <a:solidFill>
                <a:srgbClr val="000000"/>
              </a:solidFill>
              <a:latin typeface="Arial"/>
              <a:cs typeface="Arial"/>
            </a:rPr>
            <a:t>-</a:t>
          </a:r>
        </a:p>
      </xdr:txBody>
    </xdr:sp>
    <xdr:clientData/>
  </xdr:oneCellAnchor>
  <xdr:twoCellAnchor editAs="oneCell">
    <xdr:from>
      <xdr:col>1</xdr:col>
      <xdr:colOff>0</xdr:colOff>
      <xdr:row>221</xdr:row>
      <xdr:rowOff>0</xdr:rowOff>
    </xdr:from>
    <xdr:to>
      <xdr:col>1</xdr:col>
      <xdr:colOff>247650</xdr:colOff>
      <xdr:row>222</xdr:row>
      <xdr:rowOff>85725</xdr:rowOff>
    </xdr:to>
    <xdr:pic>
      <xdr:nvPicPr>
        <xdr:cNvPr id="14255" name="Picture 33" descr="INFO">
          <a:hlinkClick xmlns:r="http://schemas.openxmlformats.org/officeDocument/2006/relationships" r:id="rId18"/>
        </xdr:cNvPr>
        <xdr:cNvPicPr>
          <a:picLocks noChangeAspect="1" noChangeArrowheads="1"/>
        </xdr:cNvPicPr>
      </xdr:nvPicPr>
      <xdr:blipFill>
        <a:blip xmlns:r="http://schemas.openxmlformats.org/officeDocument/2006/relationships" r:embed="rId19" cstate="print"/>
        <a:srcRect/>
        <a:stretch>
          <a:fillRect/>
        </a:stretch>
      </xdr:blipFill>
      <xdr:spPr bwMode="auto">
        <a:xfrm>
          <a:off x="257175" y="29889450"/>
          <a:ext cx="247650" cy="247650"/>
        </a:xfrm>
        <a:prstGeom prst="rect">
          <a:avLst/>
        </a:prstGeom>
        <a:noFill/>
        <a:ln w="9525">
          <a:noFill/>
          <a:miter lim="800000"/>
          <a:headEnd/>
          <a:tailEnd/>
        </a:ln>
      </xdr:spPr>
    </xdr:pic>
    <xdr:clientData/>
  </xdr:twoCellAnchor>
  <xdr:twoCellAnchor editAs="oneCell">
    <xdr:from>
      <xdr:col>1</xdr:col>
      <xdr:colOff>323850</xdr:colOff>
      <xdr:row>221</xdr:row>
      <xdr:rowOff>0</xdr:rowOff>
    </xdr:from>
    <xdr:to>
      <xdr:col>1</xdr:col>
      <xdr:colOff>571500</xdr:colOff>
      <xdr:row>222</xdr:row>
      <xdr:rowOff>85725</xdr:rowOff>
    </xdr:to>
    <xdr:pic>
      <xdr:nvPicPr>
        <xdr:cNvPr id="14256" name="Picture 34" descr="INFO">
          <a:hlinkClick xmlns:r="http://schemas.openxmlformats.org/officeDocument/2006/relationships" r:id="rId20"/>
        </xdr:cNvPr>
        <xdr:cNvPicPr>
          <a:picLocks noChangeAspect="1" noChangeArrowheads="1"/>
        </xdr:cNvPicPr>
      </xdr:nvPicPr>
      <xdr:blipFill>
        <a:blip xmlns:r="http://schemas.openxmlformats.org/officeDocument/2006/relationships" r:embed="rId19" cstate="print"/>
        <a:srcRect/>
        <a:stretch>
          <a:fillRect/>
        </a:stretch>
      </xdr:blipFill>
      <xdr:spPr bwMode="auto">
        <a:xfrm>
          <a:off x="581025" y="29889450"/>
          <a:ext cx="247650" cy="247650"/>
        </a:xfrm>
        <a:prstGeom prst="rect">
          <a:avLst/>
        </a:prstGeom>
        <a:noFill/>
        <a:ln w="9525">
          <a:noFill/>
          <a:miter lim="800000"/>
          <a:headEnd/>
          <a:tailEnd/>
        </a:ln>
      </xdr:spPr>
    </xdr:pic>
    <xdr:clientData/>
  </xdr:twoCellAnchor>
  <xdr:oneCellAnchor>
    <xdr:from>
      <xdr:col>3</xdr:col>
      <xdr:colOff>103852</xdr:colOff>
      <xdr:row>82</xdr:row>
      <xdr:rowOff>100552</xdr:rowOff>
    </xdr:from>
    <xdr:ext cx="1563953" cy="468013"/>
    <xdr:sp macro="" textlink="">
      <xdr:nvSpPr>
        <xdr:cNvPr id="29" name="Rechthoek 28">
          <a:hlinkClick xmlns:r="http://schemas.openxmlformats.org/officeDocument/2006/relationships" r:id="rId21"/>
        </xdr:cNvPr>
        <xdr:cNvSpPr/>
      </xdr:nvSpPr>
      <xdr:spPr>
        <a:xfrm>
          <a:off x="5418802" y="13921327"/>
          <a:ext cx="1563953" cy="468013"/>
        </a:xfrm>
        <a:prstGeom prst="rect">
          <a:avLst/>
        </a:prstGeom>
        <a:noFill/>
      </xdr:spPr>
      <xdr:txBody>
        <a:bodyPr wrap="none" lIns="91440" tIns="45720" rIns="91440" bIns="45720">
          <a:spAutoFit/>
        </a:bodyPr>
        <a:lstStyle/>
        <a:p>
          <a:pPr algn="ctr"/>
          <a:r>
            <a:rPr lang="nl-NL" sz="2400" b="1" cap="none" spc="0">
              <a:ln w="24500" cmpd="dbl">
                <a:solidFill>
                  <a:schemeClr val="accent2">
                    <a:shade val="85000"/>
                    <a:satMod val="155000"/>
                  </a:schemeClr>
                </a:solidFill>
                <a:prstDash val="solid"/>
                <a:miter lim="800000"/>
              </a:ln>
              <a:gradFill>
                <a:gsLst>
                  <a:gs pos="10000">
                    <a:schemeClr val="accent2">
                      <a:tint val="10000"/>
                      <a:satMod val="155000"/>
                    </a:schemeClr>
                  </a:gs>
                  <a:gs pos="60000">
                    <a:schemeClr val="accent2">
                      <a:tint val="30000"/>
                      <a:satMod val="155000"/>
                    </a:schemeClr>
                  </a:gs>
                  <a:gs pos="100000">
                    <a:schemeClr val="accent2">
                      <a:tint val="73000"/>
                      <a:satMod val="155000"/>
                    </a:schemeClr>
                  </a:gs>
                </a:gsLst>
                <a:lin ang="5400000"/>
              </a:gradFill>
              <a:effectLst>
                <a:outerShdw blurRad="38100" dist="38100" dir="7020000" algn="tl">
                  <a:srgbClr val="000000">
                    <a:alpha val="35000"/>
                  </a:srgbClr>
                </a:outerShdw>
              </a:effectLst>
            </a:rPr>
            <a:t>Weblink</a:t>
          </a:r>
          <a:r>
            <a:rPr lang="nl-NL" sz="2400" b="1" cap="none" spc="0" baseline="0">
              <a:ln w="24500" cmpd="dbl">
                <a:solidFill>
                  <a:schemeClr val="accent2">
                    <a:shade val="85000"/>
                    <a:satMod val="155000"/>
                  </a:schemeClr>
                </a:solidFill>
                <a:prstDash val="solid"/>
                <a:miter lim="800000"/>
              </a:ln>
              <a:gradFill>
                <a:gsLst>
                  <a:gs pos="10000">
                    <a:schemeClr val="accent2">
                      <a:tint val="10000"/>
                      <a:satMod val="155000"/>
                    </a:schemeClr>
                  </a:gs>
                  <a:gs pos="60000">
                    <a:schemeClr val="accent2">
                      <a:tint val="30000"/>
                      <a:satMod val="155000"/>
                    </a:schemeClr>
                  </a:gs>
                  <a:gs pos="100000">
                    <a:schemeClr val="accent2">
                      <a:tint val="73000"/>
                      <a:satMod val="155000"/>
                    </a:schemeClr>
                  </a:gs>
                </a:gsLst>
                <a:lin ang="5400000"/>
              </a:gradFill>
              <a:effectLst>
                <a:outerShdw blurRad="38100" dist="38100" dir="7020000" algn="tl">
                  <a:srgbClr val="000000">
                    <a:alpha val="35000"/>
                  </a:srgbClr>
                </a:outerShdw>
              </a:effectLst>
            </a:rPr>
            <a:t> ...</a:t>
          </a:r>
          <a:endParaRPr lang="nl-NL" sz="2400" b="1" cap="none" spc="0">
            <a:ln w="24500" cmpd="dbl">
              <a:solidFill>
                <a:schemeClr val="accent2">
                  <a:shade val="85000"/>
                  <a:satMod val="155000"/>
                </a:schemeClr>
              </a:solidFill>
              <a:prstDash val="solid"/>
              <a:miter lim="800000"/>
            </a:ln>
            <a:gradFill>
              <a:gsLst>
                <a:gs pos="10000">
                  <a:schemeClr val="accent2">
                    <a:tint val="10000"/>
                    <a:satMod val="155000"/>
                  </a:schemeClr>
                </a:gs>
                <a:gs pos="60000">
                  <a:schemeClr val="accent2">
                    <a:tint val="30000"/>
                    <a:satMod val="155000"/>
                  </a:schemeClr>
                </a:gs>
                <a:gs pos="100000">
                  <a:schemeClr val="accent2">
                    <a:tint val="73000"/>
                    <a:satMod val="155000"/>
                  </a:schemeClr>
                </a:gs>
              </a:gsLst>
              <a:lin ang="5400000"/>
            </a:gradFill>
            <a:effectLst>
              <a:outerShdw blurRad="38100" dist="38100" dir="7020000" algn="tl">
                <a:srgbClr val="000000">
                  <a:alpha val="35000"/>
                </a:srgbClr>
              </a:outerShdw>
            </a:effectLst>
          </a:endParaRPr>
        </a:p>
      </xdr:txBody>
    </xdr:sp>
    <xdr:clientData/>
  </xdr:oneCellAnchor>
  <xdr:twoCellAnchor>
    <xdr:from>
      <xdr:col>1</xdr:col>
      <xdr:colOff>3790950</xdr:colOff>
      <xdr:row>84</xdr:row>
      <xdr:rowOff>9525</xdr:rowOff>
    </xdr:from>
    <xdr:to>
      <xdr:col>3</xdr:col>
      <xdr:colOff>9525</xdr:colOff>
      <xdr:row>84</xdr:row>
      <xdr:rowOff>9525</xdr:rowOff>
    </xdr:to>
    <xdr:cxnSp macro="">
      <xdr:nvCxnSpPr>
        <xdr:cNvPr id="31" name="Rechte verbindingslijn met pijl 30"/>
        <xdr:cNvCxnSpPr/>
      </xdr:nvCxnSpPr>
      <xdr:spPr>
        <a:xfrm>
          <a:off x="4048125" y="14154150"/>
          <a:ext cx="1276350" cy="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919341</xdr:colOff>
      <xdr:row>98</xdr:row>
      <xdr:rowOff>19050</xdr:rowOff>
    </xdr:from>
    <xdr:ext cx="1563953" cy="468013"/>
    <xdr:sp macro="" textlink="">
      <xdr:nvSpPr>
        <xdr:cNvPr id="36" name="Rechthoek 35">
          <a:hlinkClick xmlns:r="http://schemas.openxmlformats.org/officeDocument/2006/relationships" r:id="rId22"/>
        </xdr:cNvPr>
        <xdr:cNvSpPr/>
      </xdr:nvSpPr>
      <xdr:spPr>
        <a:xfrm>
          <a:off x="5119866" y="16430625"/>
          <a:ext cx="1563953" cy="468013"/>
        </a:xfrm>
        <a:prstGeom prst="rect">
          <a:avLst/>
        </a:prstGeom>
        <a:noFill/>
      </xdr:spPr>
      <xdr:txBody>
        <a:bodyPr wrap="none" lIns="91440" tIns="45720" rIns="91440" bIns="45720">
          <a:spAutoFit/>
        </a:bodyPr>
        <a:lstStyle/>
        <a:p>
          <a:pPr algn="ctr"/>
          <a:r>
            <a:rPr lang="nl-NL" sz="2400" b="1" cap="none" spc="0">
              <a:ln w="24500" cmpd="dbl">
                <a:solidFill>
                  <a:schemeClr val="accent2">
                    <a:shade val="85000"/>
                    <a:satMod val="155000"/>
                  </a:schemeClr>
                </a:solidFill>
                <a:prstDash val="solid"/>
                <a:miter lim="800000"/>
              </a:ln>
              <a:gradFill>
                <a:gsLst>
                  <a:gs pos="10000">
                    <a:schemeClr val="accent2">
                      <a:tint val="10000"/>
                      <a:satMod val="155000"/>
                    </a:schemeClr>
                  </a:gs>
                  <a:gs pos="60000">
                    <a:schemeClr val="accent2">
                      <a:tint val="30000"/>
                      <a:satMod val="155000"/>
                    </a:schemeClr>
                  </a:gs>
                  <a:gs pos="100000">
                    <a:schemeClr val="accent2">
                      <a:tint val="73000"/>
                      <a:satMod val="155000"/>
                    </a:schemeClr>
                  </a:gs>
                </a:gsLst>
                <a:lin ang="5400000"/>
              </a:gradFill>
              <a:effectLst>
                <a:outerShdw blurRad="38100" dist="38100" dir="7020000" algn="tl">
                  <a:srgbClr val="000000">
                    <a:alpha val="35000"/>
                  </a:srgbClr>
                </a:outerShdw>
              </a:effectLst>
            </a:rPr>
            <a:t>Weblink</a:t>
          </a:r>
          <a:r>
            <a:rPr lang="nl-NL" sz="2400" b="1" cap="none" spc="0" baseline="0">
              <a:ln w="24500" cmpd="dbl">
                <a:solidFill>
                  <a:schemeClr val="accent2">
                    <a:shade val="85000"/>
                    <a:satMod val="155000"/>
                  </a:schemeClr>
                </a:solidFill>
                <a:prstDash val="solid"/>
                <a:miter lim="800000"/>
              </a:ln>
              <a:gradFill>
                <a:gsLst>
                  <a:gs pos="10000">
                    <a:schemeClr val="accent2">
                      <a:tint val="10000"/>
                      <a:satMod val="155000"/>
                    </a:schemeClr>
                  </a:gs>
                  <a:gs pos="60000">
                    <a:schemeClr val="accent2">
                      <a:tint val="30000"/>
                      <a:satMod val="155000"/>
                    </a:schemeClr>
                  </a:gs>
                  <a:gs pos="100000">
                    <a:schemeClr val="accent2">
                      <a:tint val="73000"/>
                      <a:satMod val="155000"/>
                    </a:schemeClr>
                  </a:gs>
                </a:gsLst>
                <a:lin ang="5400000"/>
              </a:gradFill>
              <a:effectLst>
                <a:outerShdw blurRad="38100" dist="38100" dir="7020000" algn="tl">
                  <a:srgbClr val="000000">
                    <a:alpha val="35000"/>
                  </a:srgbClr>
                </a:outerShdw>
              </a:effectLst>
            </a:rPr>
            <a:t> ...</a:t>
          </a:r>
          <a:endParaRPr lang="nl-NL" sz="2400" b="1" cap="none" spc="0">
            <a:ln w="24500" cmpd="dbl">
              <a:solidFill>
                <a:schemeClr val="accent2">
                  <a:shade val="85000"/>
                  <a:satMod val="155000"/>
                </a:schemeClr>
              </a:solidFill>
              <a:prstDash val="solid"/>
              <a:miter lim="800000"/>
            </a:ln>
            <a:gradFill>
              <a:gsLst>
                <a:gs pos="10000">
                  <a:schemeClr val="accent2">
                    <a:tint val="10000"/>
                    <a:satMod val="155000"/>
                  </a:schemeClr>
                </a:gs>
                <a:gs pos="60000">
                  <a:schemeClr val="accent2">
                    <a:tint val="30000"/>
                    <a:satMod val="155000"/>
                  </a:schemeClr>
                </a:gs>
                <a:gs pos="100000">
                  <a:schemeClr val="accent2">
                    <a:tint val="73000"/>
                    <a:satMod val="155000"/>
                  </a:schemeClr>
                </a:gs>
              </a:gsLst>
              <a:lin ang="5400000"/>
            </a:gradFill>
            <a:effectLst>
              <a:outerShdw blurRad="38100" dist="38100" dir="7020000" algn="tl">
                <a:srgbClr val="000000">
                  <a:alpha val="35000"/>
                </a:srgbClr>
              </a:outerShdw>
            </a:effectLst>
          </a:endParaRPr>
        </a:p>
      </xdr:txBody>
    </xdr:sp>
    <xdr:clientData/>
  </xdr:oneCellAnchor>
  <xdr:twoCellAnchor>
    <xdr:from>
      <xdr:col>1</xdr:col>
      <xdr:colOff>3495675</xdr:colOff>
      <xdr:row>99</xdr:row>
      <xdr:rowOff>95250</xdr:rowOff>
    </xdr:from>
    <xdr:to>
      <xdr:col>2</xdr:col>
      <xdr:colOff>828675</xdr:colOff>
      <xdr:row>99</xdr:row>
      <xdr:rowOff>95250</xdr:rowOff>
    </xdr:to>
    <xdr:cxnSp macro="">
      <xdr:nvCxnSpPr>
        <xdr:cNvPr id="37" name="Rechte verbindingslijn met pijl 36"/>
        <xdr:cNvCxnSpPr/>
      </xdr:nvCxnSpPr>
      <xdr:spPr>
        <a:xfrm>
          <a:off x="3752850" y="16668750"/>
          <a:ext cx="1276350" cy="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6.xml><?xml version="1.0" encoding="utf-8"?>
<xdr:wsDr xmlns:xdr="http://schemas.openxmlformats.org/drawingml/2006/spreadsheetDrawing" xmlns:a="http://schemas.openxmlformats.org/drawingml/2006/main">
  <xdr:twoCellAnchor editAs="oneCell">
    <xdr:from>
      <xdr:col>4</xdr:col>
      <xdr:colOff>666750</xdr:colOff>
      <xdr:row>14</xdr:row>
      <xdr:rowOff>161925</xdr:rowOff>
    </xdr:from>
    <xdr:to>
      <xdr:col>4</xdr:col>
      <xdr:colOff>866775</xdr:colOff>
      <xdr:row>16</xdr:row>
      <xdr:rowOff>19050</xdr:rowOff>
    </xdr:to>
    <xdr:pic>
      <xdr:nvPicPr>
        <xdr:cNvPr id="105614" name="Picture 1" descr="Vraagteken">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6962775" y="2428875"/>
          <a:ext cx="200025" cy="200025"/>
        </a:xfrm>
        <a:prstGeom prst="rect">
          <a:avLst/>
        </a:prstGeom>
        <a:noFill/>
        <a:ln w="9525">
          <a:noFill/>
          <a:miter lim="800000"/>
          <a:headEnd/>
          <a:tailEnd/>
        </a:ln>
      </xdr:spPr>
    </xdr:pic>
    <xdr:clientData/>
  </xdr:twoCellAnchor>
  <xdr:twoCellAnchor editAs="oneCell">
    <xdr:from>
      <xdr:col>4</xdr:col>
      <xdr:colOff>1009650</xdr:colOff>
      <xdr:row>14</xdr:row>
      <xdr:rowOff>161925</xdr:rowOff>
    </xdr:from>
    <xdr:to>
      <xdr:col>5</xdr:col>
      <xdr:colOff>161925</xdr:colOff>
      <xdr:row>16</xdr:row>
      <xdr:rowOff>19050</xdr:rowOff>
    </xdr:to>
    <xdr:pic>
      <xdr:nvPicPr>
        <xdr:cNvPr id="105616" name="Picture 3" descr="Vraagteken">
          <a:hlinkClick xmlns:r="http://schemas.openxmlformats.org/officeDocument/2006/relationships" r:id="rId3"/>
        </xdr:cNvPr>
        <xdr:cNvPicPr>
          <a:picLocks noChangeAspect="1" noChangeArrowheads="1"/>
        </xdr:cNvPicPr>
      </xdr:nvPicPr>
      <xdr:blipFill>
        <a:blip xmlns:r="http://schemas.openxmlformats.org/officeDocument/2006/relationships" r:embed="rId2" cstate="print"/>
        <a:srcRect/>
        <a:stretch>
          <a:fillRect/>
        </a:stretch>
      </xdr:blipFill>
      <xdr:spPr bwMode="auto">
        <a:xfrm>
          <a:off x="7305675" y="2428875"/>
          <a:ext cx="200025" cy="200025"/>
        </a:xfrm>
        <a:prstGeom prst="rect">
          <a:avLst/>
        </a:prstGeom>
        <a:noFill/>
        <a:ln w="9525">
          <a:noFill/>
          <a:miter lim="800000"/>
          <a:headEnd/>
          <a:tailEnd/>
        </a:ln>
      </xdr:spPr>
    </xdr:pic>
    <xdr:clientData/>
  </xdr:twoCellAnchor>
  <xdr:twoCellAnchor editAs="oneCell">
    <xdr:from>
      <xdr:col>4</xdr:col>
      <xdr:colOff>647700</xdr:colOff>
      <xdr:row>34</xdr:row>
      <xdr:rowOff>85725</xdr:rowOff>
    </xdr:from>
    <xdr:to>
      <xdr:col>4</xdr:col>
      <xdr:colOff>847725</xdr:colOff>
      <xdr:row>35</xdr:row>
      <xdr:rowOff>114300</xdr:rowOff>
    </xdr:to>
    <xdr:pic>
      <xdr:nvPicPr>
        <xdr:cNvPr id="105617" name="Picture 4" descr="Vraagteken">
          <a:hlinkClick xmlns:r="http://schemas.openxmlformats.org/officeDocument/2006/relationships" r:id="rId4"/>
        </xdr:cNvPr>
        <xdr:cNvPicPr>
          <a:picLocks noChangeAspect="1" noChangeArrowheads="1"/>
        </xdr:cNvPicPr>
      </xdr:nvPicPr>
      <xdr:blipFill>
        <a:blip xmlns:r="http://schemas.openxmlformats.org/officeDocument/2006/relationships" r:embed="rId2" cstate="print"/>
        <a:srcRect/>
        <a:stretch>
          <a:fillRect/>
        </a:stretch>
      </xdr:blipFill>
      <xdr:spPr bwMode="auto">
        <a:xfrm>
          <a:off x="6943725" y="5610225"/>
          <a:ext cx="200025" cy="190500"/>
        </a:xfrm>
        <a:prstGeom prst="rect">
          <a:avLst/>
        </a:prstGeom>
        <a:noFill/>
        <a:ln w="9525">
          <a:noFill/>
          <a:miter lim="800000"/>
          <a:headEnd/>
          <a:tailEnd/>
        </a:ln>
      </xdr:spPr>
    </xdr:pic>
    <xdr:clientData/>
  </xdr:twoCellAnchor>
  <xdr:twoCellAnchor editAs="oneCell">
    <xdr:from>
      <xdr:col>4</xdr:col>
      <xdr:colOff>723900</xdr:colOff>
      <xdr:row>46</xdr:row>
      <xdr:rowOff>161925</xdr:rowOff>
    </xdr:from>
    <xdr:to>
      <xdr:col>4</xdr:col>
      <xdr:colOff>923925</xdr:colOff>
      <xdr:row>48</xdr:row>
      <xdr:rowOff>19050</xdr:rowOff>
    </xdr:to>
    <xdr:pic>
      <xdr:nvPicPr>
        <xdr:cNvPr id="105618" name="Picture 5" descr="Vraagteken">
          <a:hlinkClick xmlns:r="http://schemas.openxmlformats.org/officeDocument/2006/relationships" r:id="rId5"/>
        </xdr:cNvPr>
        <xdr:cNvPicPr>
          <a:picLocks noChangeAspect="1" noChangeArrowheads="1"/>
        </xdr:cNvPicPr>
      </xdr:nvPicPr>
      <xdr:blipFill>
        <a:blip xmlns:r="http://schemas.openxmlformats.org/officeDocument/2006/relationships" r:embed="rId2" cstate="print"/>
        <a:srcRect/>
        <a:stretch>
          <a:fillRect/>
        </a:stretch>
      </xdr:blipFill>
      <xdr:spPr bwMode="auto">
        <a:xfrm>
          <a:off x="7019925" y="7629525"/>
          <a:ext cx="200025" cy="200025"/>
        </a:xfrm>
        <a:prstGeom prst="rect">
          <a:avLst/>
        </a:prstGeom>
        <a:noFill/>
        <a:ln w="9525">
          <a:noFill/>
          <a:miter lim="800000"/>
          <a:headEnd/>
          <a:tailEnd/>
        </a:ln>
      </xdr:spPr>
    </xdr:pic>
    <xdr:clientData/>
  </xdr:twoCellAnchor>
  <xdr:twoCellAnchor editAs="oneCell">
    <xdr:from>
      <xdr:col>4</xdr:col>
      <xdr:colOff>685800</xdr:colOff>
      <xdr:row>109</xdr:row>
      <xdr:rowOff>142875</xdr:rowOff>
    </xdr:from>
    <xdr:to>
      <xdr:col>4</xdr:col>
      <xdr:colOff>885825</xdr:colOff>
      <xdr:row>111</xdr:row>
      <xdr:rowOff>19050</xdr:rowOff>
    </xdr:to>
    <xdr:pic>
      <xdr:nvPicPr>
        <xdr:cNvPr id="105619" name="Picture 6" descr="Vraagteken">
          <a:hlinkClick xmlns:r="http://schemas.openxmlformats.org/officeDocument/2006/relationships" r:id="rId6"/>
        </xdr:cNvPr>
        <xdr:cNvPicPr>
          <a:picLocks noChangeAspect="1" noChangeArrowheads="1"/>
        </xdr:cNvPicPr>
      </xdr:nvPicPr>
      <xdr:blipFill>
        <a:blip xmlns:r="http://schemas.openxmlformats.org/officeDocument/2006/relationships" r:embed="rId2" cstate="print"/>
        <a:srcRect/>
        <a:stretch>
          <a:fillRect/>
        </a:stretch>
      </xdr:blipFill>
      <xdr:spPr bwMode="auto">
        <a:xfrm>
          <a:off x="6981825" y="17868900"/>
          <a:ext cx="200025" cy="200025"/>
        </a:xfrm>
        <a:prstGeom prst="rect">
          <a:avLst/>
        </a:prstGeom>
        <a:noFill/>
        <a:ln w="9525">
          <a:noFill/>
          <a:miter lim="800000"/>
          <a:headEnd/>
          <a:tailEnd/>
        </a:ln>
      </xdr:spPr>
    </xdr:pic>
    <xdr:clientData/>
  </xdr:twoCellAnchor>
  <xdr:twoCellAnchor editAs="oneCell">
    <xdr:from>
      <xdr:col>4</xdr:col>
      <xdr:colOff>733425</xdr:colOff>
      <xdr:row>51</xdr:row>
      <xdr:rowOff>152400</xdr:rowOff>
    </xdr:from>
    <xdr:to>
      <xdr:col>4</xdr:col>
      <xdr:colOff>933450</xdr:colOff>
      <xdr:row>53</xdr:row>
      <xdr:rowOff>19050</xdr:rowOff>
    </xdr:to>
    <xdr:pic>
      <xdr:nvPicPr>
        <xdr:cNvPr id="105620" name="Picture 7" descr="Vraagteken">
          <a:hlinkClick xmlns:r="http://schemas.openxmlformats.org/officeDocument/2006/relationships" r:id="rId7"/>
        </xdr:cNvPr>
        <xdr:cNvPicPr>
          <a:picLocks noChangeAspect="1" noChangeArrowheads="1"/>
        </xdr:cNvPicPr>
      </xdr:nvPicPr>
      <xdr:blipFill>
        <a:blip xmlns:r="http://schemas.openxmlformats.org/officeDocument/2006/relationships" r:embed="rId2" cstate="print"/>
        <a:srcRect/>
        <a:stretch>
          <a:fillRect/>
        </a:stretch>
      </xdr:blipFill>
      <xdr:spPr bwMode="auto">
        <a:xfrm>
          <a:off x="7029450" y="8448675"/>
          <a:ext cx="200025" cy="190500"/>
        </a:xfrm>
        <a:prstGeom prst="rect">
          <a:avLst/>
        </a:prstGeom>
        <a:noFill/>
        <a:ln w="9525">
          <a:noFill/>
          <a:miter lim="800000"/>
          <a:headEnd/>
          <a:tailEnd/>
        </a:ln>
      </xdr:spPr>
    </xdr:pic>
    <xdr:clientData/>
  </xdr:twoCellAnchor>
  <xdr:twoCellAnchor editAs="oneCell">
    <xdr:from>
      <xdr:col>5</xdr:col>
      <xdr:colOff>0</xdr:colOff>
      <xdr:row>29</xdr:row>
      <xdr:rowOff>47625</xdr:rowOff>
    </xdr:from>
    <xdr:to>
      <xdr:col>5</xdr:col>
      <xdr:colOff>200025</xdr:colOff>
      <xdr:row>30</xdr:row>
      <xdr:rowOff>85725</xdr:rowOff>
    </xdr:to>
    <xdr:pic>
      <xdr:nvPicPr>
        <xdr:cNvPr id="105621" name="Picture 8" descr="Vraagteken">
          <a:hlinkClick xmlns:r="http://schemas.openxmlformats.org/officeDocument/2006/relationships" r:id="rId8"/>
        </xdr:cNvPr>
        <xdr:cNvPicPr>
          <a:picLocks noChangeAspect="1" noChangeArrowheads="1"/>
        </xdr:cNvPicPr>
      </xdr:nvPicPr>
      <xdr:blipFill>
        <a:blip xmlns:r="http://schemas.openxmlformats.org/officeDocument/2006/relationships" r:embed="rId2" cstate="print"/>
        <a:srcRect/>
        <a:stretch>
          <a:fillRect/>
        </a:stretch>
      </xdr:blipFill>
      <xdr:spPr bwMode="auto">
        <a:xfrm>
          <a:off x="7343775" y="4762500"/>
          <a:ext cx="200025" cy="200025"/>
        </a:xfrm>
        <a:prstGeom prst="rect">
          <a:avLst/>
        </a:prstGeom>
        <a:noFill/>
        <a:ln w="9525">
          <a:noFill/>
          <a:miter lim="800000"/>
          <a:headEnd/>
          <a:tailEnd/>
        </a:ln>
      </xdr:spPr>
    </xdr:pic>
    <xdr:clientData/>
  </xdr:twoCellAnchor>
  <xdr:twoCellAnchor editAs="oneCell">
    <xdr:from>
      <xdr:col>4</xdr:col>
      <xdr:colOff>676275</xdr:colOff>
      <xdr:row>123</xdr:row>
      <xdr:rowOff>19050</xdr:rowOff>
    </xdr:from>
    <xdr:to>
      <xdr:col>4</xdr:col>
      <xdr:colOff>876300</xdr:colOff>
      <xdr:row>124</xdr:row>
      <xdr:rowOff>47625</xdr:rowOff>
    </xdr:to>
    <xdr:pic>
      <xdr:nvPicPr>
        <xdr:cNvPr id="105622" name="Picture 9" descr="Vraagteken">
          <a:hlinkClick xmlns:r="http://schemas.openxmlformats.org/officeDocument/2006/relationships" r:id="rId9"/>
        </xdr:cNvPr>
        <xdr:cNvPicPr>
          <a:picLocks noChangeAspect="1" noChangeArrowheads="1"/>
        </xdr:cNvPicPr>
      </xdr:nvPicPr>
      <xdr:blipFill>
        <a:blip xmlns:r="http://schemas.openxmlformats.org/officeDocument/2006/relationships" r:embed="rId2" cstate="print"/>
        <a:srcRect/>
        <a:stretch>
          <a:fillRect/>
        </a:stretch>
      </xdr:blipFill>
      <xdr:spPr bwMode="auto">
        <a:xfrm>
          <a:off x="6972300" y="20012025"/>
          <a:ext cx="200025" cy="190500"/>
        </a:xfrm>
        <a:prstGeom prst="rect">
          <a:avLst/>
        </a:prstGeom>
        <a:noFill/>
        <a:ln w="9525">
          <a:noFill/>
          <a:miter lim="800000"/>
          <a:headEnd/>
          <a:tailEnd/>
        </a:ln>
      </xdr:spPr>
    </xdr:pic>
    <xdr:clientData/>
  </xdr:twoCellAnchor>
  <xdr:twoCellAnchor editAs="oneCell">
    <xdr:from>
      <xdr:col>4</xdr:col>
      <xdr:colOff>666750</xdr:colOff>
      <xdr:row>126</xdr:row>
      <xdr:rowOff>133350</xdr:rowOff>
    </xdr:from>
    <xdr:to>
      <xdr:col>4</xdr:col>
      <xdr:colOff>866775</xdr:colOff>
      <xdr:row>128</xdr:row>
      <xdr:rowOff>0</xdr:rowOff>
    </xdr:to>
    <xdr:pic>
      <xdr:nvPicPr>
        <xdr:cNvPr id="105623" name="Picture 10" descr="Vraagteken">
          <a:hlinkClick xmlns:r="http://schemas.openxmlformats.org/officeDocument/2006/relationships" r:id="rId10"/>
        </xdr:cNvPr>
        <xdr:cNvPicPr>
          <a:picLocks noChangeAspect="1" noChangeArrowheads="1"/>
        </xdr:cNvPicPr>
      </xdr:nvPicPr>
      <xdr:blipFill>
        <a:blip xmlns:r="http://schemas.openxmlformats.org/officeDocument/2006/relationships" r:embed="rId2" cstate="print"/>
        <a:srcRect/>
        <a:stretch>
          <a:fillRect/>
        </a:stretch>
      </xdr:blipFill>
      <xdr:spPr bwMode="auto">
        <a:xfrm>
          <a:off x="6962775" y="20612100"/>
          <a:ext cx="200025" cy="190500"/>
        </a:xfrm>
        <a:prstGeom prst="rect">
          <a:avLst/>
        </a:prstGeom>
        <a:noFill/>
        <a:ln w="9525">
          <a:noFill/>
          <a:miter lim="800000"/>
          <a:headEnd/>
          <a:tailEnd/>
        </a:ln>
      </xdr:spPr>
    </xdr:pic>
    <xdr:clientData/>
  </xdr:twoCellAnchor>
  <xdr:twoCellAnchor editAs="oneCell">
    <xdr:from>
      <xdr:col>4</xdr:col>
      <xdr:colOff>666750</xdr:colOff>
      <xdr:row>29</xdr:row>
      <xdr:rowOff>47625</xdr:rowOff>
    </xdr:from>
    <xdr:to>
      <xdr:col>4</xdr:col>
      <xdr:colOff>866775</xdr:colOff>
      <xdr:row>30</xdr:row>
      <xdr:rowOff>85725</xdr:rowOff>
    </xdr:to>
    <xdr:pic>
      <xdr:nvPicPr>
        <xdr:cNvPr id="105624" name="Picture 11" descr="Vraagteken">
          <a:hlinkClick xmlns:r="http://schemas.openxmlformats.org/officeDocument/2006/relationships" r:id="rId11"/>
        </xdr:cNvPr>
        <xdr:cNvPicPr>
          <a:picLocks noChangeAspect="1" noChangeArrowheads="1"/>
        </xdr:cNvPicPr>
      </xdr:nvPicPr>
      <xdr:blipFill>
        <a:blip xmlns:r="http://schemas.openxmlformats.org/officeDocument/2006/relationships" r:embed="rId2" cstate="print"/>
        <a:srcRect/>
        <a:stretch>
          <a:fillRect/>
        </a:stretch>
      </xdr:blipFill>
      <xdr:spPr bwMode="auto">
        <a:xfrm>
          <a:off x="6962775" y="4762500"/>
          <a:ext cx="200025" cy="200025"/>
        </a:xfrm>
        <a:prstGeom prst="rect">
          <a:avLst/>
        </a:prstGeom>
        <a:noFill/>
        <a:ln w="9525">
          <a:noFill/>
          <a:miter lim="800000"/>
          <a:headEnd/>
          <a:tailEnd/>
        </a:ln>
      </xdr:spPr>
    </xdr:pic>
    <xdr:clientData/>
  </xdr:twoCellAnchor>
  <xdr:twoCellAnchor editAs="oneCell">
    <xdr:from>
      <xdr:col>4</xdr:col>
      <xdr:colOff>695325</xdr:colOff>
      <xdr:row>58</xdr:row>
      <xdr:rowOff>152400</xdr:rowOff>
    </xdr:from>
    <xdr:to>
      <xdr:col>4</xdr:col>
      <xdr:colOff>895350</xdr:colOff>
      <xdr:row>60</xdr:row>
      <xdr:rowOff>19050</xdr:rowOff>
    </xdr:to>
    <xdr:pic>
      <xdr:nvPicPr>
        <xdr:cNvPr id="105626" name="Picture 14" descr="Vraagteken">
          <a:hlinkClick xmlns:r="http://schemas.openxmlformats.org/officeDocument/2006/relationships" r:id="rId12"/>
        </xdr:cNvPr>
        <xdr:cNvPicPr>
          <a:picLocks noChangeAspect="1" noChangeArrowheads="1"/>
        </xdr:cNvPicPr>
      </xdr:nvPicPr>
      <xdr:blipFill>
        <a:blip xmlns:r="http://schemas.openxmlformats.org/officeDocument/2006/relationships" r:embed="rId2" cstate="print"/>
        <a:srcRect/>
        <a:stretch>
          <a:fillRect/>
        </a:stretch>
      </xdr:blipFill>
      <xdr:spPr bwMode="auto">
        <a:xfrm>
          <a:off x="6991350" y="9582150"/>
          <a:ext cx="200025" cy="190500"/>
        </a:xfrm>
        <a:prstGeom prst="rect">
          <a:avLst/>
        </a:prstGeom>
        <a:noFill/>
        <a:ln w="9525">
          <a:noFill/>
          <a:miter lim="800000"/>
          <a:headEnd/>
          <a:tailEnd/>
        </a:ln>
      </xdr:spPr>
    </xdr:pic>
    <xdr:clientData/>
  </xdr:twoCellAnchor>
  <xdr:twoCellAnchor editAs="oneCell">
    <xdr:from>
      <xdr:col>5</xdr:col>
      <xdr:colOff>781050</xdr:colOff>
      <xdr:row>65</xdr:row>
      <xdr:rowOff>57150</xdr:rowOff>
    </xdr:from>
    <xdr:to>
      <xdr:col>5</xdr:col>
      <xdr:colOff>981075</xdr:colOff>
      <xdr:row>66</xdr:row>
      <xdr:rowOff>85725</xdr:rowOff>
    </xdr:to>
    <xdr:pic>
      <xdr:nvPicPr>
        <xdr:cNvPr id="105628" name="Picture 16" descr="Vraagteken">
          <a:hlinkClick xmlns:r="http://schemas.openxmlformats.org/officeDocument/2006/relationships" r:id="rId13"/>
        </xdr:cNvPr>
        <xdr:cNvPicPr>
          <a:picLocks noChangeAspect="1" noChangeArrowheads="1"/>
        </xdr:cNvPicPr>
      </xdr:nvPicPr>
      <xdr:blipFill>
        <a:blip xmlns:r="http://schemas.openxmlformats.org/officeDocument/2006/relationships" r:embed="rId2" cstate="print"/>
        <a:srcRect/>
        <a:stretch>
          <a:fillRect/>
        </a:stretch>
      </xdr:blipFill>
      <xdr:spPr bwMode="auto">
        <a:xfrm>
          <a:off x="8124825" y="10620375"/>
          <a:ext cx="200025" cy="190500"/>
        </a:xfrm>
        <a:prstGeom prst="rect">
          <a:avLst/>
        </a:prstGeom>
        <a:noFill/>
        <a:ln w="9525">
          <a:noFill/>
          <a:miter lim="800000"/>
          <a:headEnd/>
          <a:tailEnd/>
        </a:ln>
      </xdr:spPr>
    </xdr:pic>
    <xdr:clientData/>
  </xdr:twoCellAnchor>
  <xdr:twoCellAnchor editAs="oneCell">
    <xdr:from>
      <xdr:col>4</xdr:col>
      <xdr:colOff>1019175</xdr:colOff>
      <xdr:row>46</xdr:row>
      <xdr:rowOff>161925</xdr:rowOff>
    </xdr:from>
    <xdr:to>
      <xdr:col>5</xdr:col>
      <xdr:colOff>171450</xdr:colOff>
      <xdr:row>48</xdr:row>
      <xdr:rowOff>19050</xdr:rowOff>
    </xdr:to>
    <xdr:pic>
      <xdr:nvPicPr>
        <xdr:cNvPr id="105629" name="Picture 17" descr="Vraagteken">
          <a:hlinkClick xmlns:r="http://schemas.openxmlformats.org/officeDocument/2006/relationships" r:id="rId14"/>
        </xdr:cNvPr>
        <xdr:cNvPicPr>
          <a:picLocks noChangeAspect="1" noChangeArrowheads="1"/>
        </xdr:cNvPicPr>
      </xdr:nvPicPr>
      <xdr:blipFill>
        <a:blip xmlns:r="http://schemas.openxmlformats.org/officeDocument/2006/relationships" r:embed="rId2" cstate="print"/>
        <a:srcRect/>
        <a:stretch>
          <a:fillRect/>
        </a:stretch>
      </xdr:blipFill>
      <xdr:spPr bwMode="auto">
        <a:xfrm>
          <a:off x="7315200" y="7629525"/>
          <a:ext cx="200025" cy="200025"/>
        </a:xfrm>
        <a:prstGeom prst="rect">
          <a:avLst/>
        </a:prstGeom>
        <a:noFill/>
        <a:ln w="9525">
          <a:noFill/>
          <a:miter lim="800000"/>
          <a:headEnd/>
          <a:tailEnd/>
        </a:ln>
      </xdr:spPr>
    </xdr:pic>
    <xdr:clientData/>
  </xdr:twoCellAnchor>
  <xdr:twoCellAnchor editAs="oneCell">
    <xdr:from>
      <xdr:col>5</xdr:col>
      <xdr:colOff>1038225</xdr:colOff>
      <xdr:row>65</xdr:row>
      <xdr:rowOff>66675</xdr:rowOff>
    </xdr:from>
    <xdr:to>
      <xdr:col>6</xdr:col>
      <xdr:colOff>190500</xdr:colOff>
      <xdr:row>66</xdr:row>
      <xdr:rowOff>95250</xdr:rowOff>
    </xdr:to>
    <xdr:pic>
      <xdr:nvPicPr>
        <xdr:cNvPr id="105630" name="Picture 19" descr="Vraagteken">
          <a:hlinkClick xmlns:r="http://schemas.openxmlformats.org/officeDocument/2006/relationships" r:id="rId15"/>
        </xdr:cNvPr>
        <xdr:cNvPicPr>
          <a:picLocks noChangeAspect="1" noChangeArrowheads="1"/>
        </xdr:cNvPicPr>
      </xdr:nvPicPr>
      <xdr:blipFill>
        <a:blip xmlns:r="http://schemas.openxmlformats.org/officeDocument/2006/relationships" r:embed="rId2" cstate="print"/>
        <a:srcRect/>
        <a:stretch>
          <a:fillRect/>
        </a:stretch>
      </xdr:blipFill>
      <xdr:spPr bwMode="auto">
        <a:xfrm>
          <a:off x="8382000" y="10629900"/>
          <a:ext cx="200025" cy="190500"/>
        </a:xfrm>
        <a:prstGeom prst="rect">
          <a:avLst/>
        </a:prstGeom>
        <a:noFill/>
        <a:ln w="9525">
          <a:noFill/>
          <a:miter lim="800000"/>
          <a:headEnd/>
          <a:tailEnd/>
        </a:ln>
      </xdr:spPr>
    </xdr:pic>
    <xdr:clientData/>
  </xdr:twoCellAnchor>
  <xdr:twoCellAnchor>
    <xdr:from>
      <xdr:col>5</xdr:col>
      <xdr:colOff>714375</xdr:colOff>
      <xdr:row>88</xdr:row>
      <xdr:rowOff>47625</xdr:rowOff>
    </xdr:from>
    <xdr:to>
      <xdr:col>6</xdr:col>
      <xdr:colOff>590550</xdr:colOff>
      <xdr:row>91</xdr:row>
      <xdr:rowOff>66675</xdr:rowOff>
    </xdr:to>
    <xdr:sp macro="" textlink="">
      <xdr:nvSpPr>
        <xdr:cNvPr id="14356" name="WordArt 20" descr="Papieren tas">
          <a:hlinkClick xmlns:r="http://schemas.openxmlformats.org/officeDocument/2006/relationships" r:id="rId16"/>
        </xdr:cNvPr>
        <xdr:cNvSpPr>
          <a:spLocks noChangeArrowheads="1" noChangeShapeType="1" noTextEdit="1"/>
        </xdr:cNvSpPr>
      </xdr:nvSpPr>
      <xdr:spPr bwMode="auto">
        <a:xfrm>
          <a:off x="8058150" y="14354175"/>
          <a:ext cx="923925" cy="504825"/>
        </a:xfrm>
        <a:prstGeom prst="rect">
          <a:avLst/>
        </a:prstGeom>
      </xdr:spPr>
      <xdr:txBody>
        <a:bodyPr wrap="none" fromWordArt="1">
          <a:prstTxWarp prst="textPlain">
            <a:avLst>
              <a:gd name="adj" fmla="val 50000"/>
            </a:avLst>
          </a:prstTxWarp>
        </a:bodyPr>
        <a:lstStyle/>
        <a:p>
          <a:pPr algn="ctr" rtl="0"/>
          <a:r>
            <a:rPr lang="nl-NL" sz="3600" kern="10" spc="0">
              <a:ln w="9525">
                <a:solidFill>
                  <a:srgbClr val="008000"/>
                </a:solidFill>
                <a:round/>
                <a:headEnd/>
                <a:tailEnd/>
              </a:ln>
              <a:blipFill dpi="0" rotWithShape="0">
                <a:blip xmlns:r="http://schemas.openxmlformats.org/officeDocument/2006/relationships" r:embed="rId17"/>
                <a:srcRect/>
                <a:tile tx="0" ty="0" sx="100000" sy="100000" flip="none" algn="tl"/>
              </a:blipFill>
              <a:effectLst>
                <a:outerShdw dist="563972" dir="14049741" sx="125000" sy="125000" algn="tl" rotWithShape="0">
                  <a:srgbClr val="C7DFD3">
                    <a:alpha val="80000"/>
                  </a:srgbClr>
                </a:outerShdw>
              </a:effectLst>
              <a:latin typeface="Times New Roman"/>
              <a:cs typeface="Times New Roman"/>
            </a:rPr>
            <a:t>CAO</a:t>
          </a:r>
        </a:p>
      </xdr:txBody>
    </xdr:sp>
    <xdr:clientData/>
  </xdr:twoCellAnchor>
  <xdr:twoCellAnchor editAs="oneCell">
    <xdr:from>
      <xdr:col>6</xdr:col>
      <xdr:colOff>485775</xdr:colOff>
      <xdr:row>16</xdr:row>
      <xdr:rowOff>152400</xdr:rowOff>
    </xdr:from>
    <xdr:to>
      <xdr:col>6</xdr:col>
      <xdr:colOff>685800</xdr:colOff>
      <xdr:row>18</xdr:row>
      <xdr:rowOff>19050</xdr:rowOff>
    </xdr:to>
    <xdr:pic>
      <xdr:nvPicPr>
        <xdr:cNvPr id="105632" name="Picture 21" descr="Vraagteken">
          <a:hlinkClick xmlns:r="http://schemas.openxmlformats.org/officeDocument/2006/relationships" r:id="rId18"/>
        </xdr:cNvPr>
        <xdr:cNvPicPr>
          <a:picLocks noChangeAspect="1" noChangeArrowheads="1"/>
        </xdr:cNvPicPr>
      </xdr:nvPicPr>
      <xdr:blipFill>
        <a:blip xmlns:r="http://schemas.openxmlformats.org/officeDocument/2006/relationships" r:embed="rId2" cstate="print"/>
        <a:srcRect/>
        <a:stretch>
          <a:fillRect/>
        </a:stretch>
      </xdr:blipFill>
      <xdr:spPr bwMode="auto">
        <a:xfrm>
          <a:off x="8877300" y="2762250"/>
          <a:ext cx="200025" cy="190500"/>
        </a:xfrm>
        <a:prstGeom prst="rect">
          <a:avLst/>
        </a:prstGeom>
        <a:noFill/>
        <a:ln w="9525">
          <a:noFill/>
          <a:miter lim="800000"/>
          <a:headEnd/>
          <a:tailEnd/>
        </a:ln>
      </xdr:spPr>
    </xdr:pic>
    <xdr:clientData/>
  </xdr:twoCellAnchor>
  <xdr:twoCellAnchor editAs="oneCell">
    <xdr:from>
      <xdr:col>6</xdr:col>
      <xdr:colOff>466725</xdr:colOff>
      <xdr:row>114</xdr:row>
      <xdr:rowOff>95250</xdr:rowOff>
    </xdr:from>
    <xdr:to>
      <xdr:col>6</xdr:col>
      <xdr:colOff>666750</xdr:colOff>
      <xdr:row>115</xdr:row>
      <xdr:rowOff>123825</xdr:rowOff>
    </xdr:to>
    <xdr:pic>
      <xdr:nvPicPr>
        <xdr:cNvPr id="105633" name="Picture 22" descr="Vraagteken">
          <a:hlinkClick xmlns:r="http://schemas.openxmlformats.org/officeDocument/2006/relationships" r:id="rId19"/>
        </xdr:cNvPr>
        <xdr:cNvPicPr>
          <a:picLocks noChangeAspect="1" noChangeArrowheads="1"/>
        </xdr:cNvPicPr>
      </xdr:nvPicPr>
      <xdr:blipFill>
        <a:blip xmlns:r="http://schemas.openxmlformats.org/officeDocument/2006/relationships" r:embed="rId2" cstate="print"/>
        <a:srcRect/>
        <a:stretch>
          <a:fillRect/>
        </a:stretch>
      </xdr:blipFill>
      <xdr:spPr bwMode="auto">
        <a:xfrm>
          <a:off x="8858250" y="18630900"/>
          <a:ext cx="200025" cy="190500"/>
        </a:xfrm>
        <a:prstGeom prst="rect">
          <a:avLst/>
        </a:prstGeom>
        <a:noFill/>
        <a:ln w="9525">
          <a:noFill/>
          <a:miter lim="800000"/>
          <a:headEnd/>
          <a:tailEnd/>
        </a:ln>
      </xdr:spPr>
    </xdr:pic>
    <xdr:clientData/>
  </xdr:twoCellAnchor>
  <xdr:twoCellAnchor>
    <xdr:from>
      <xdr:col>3</xdr:col>
      <xdr:colOff>28575</xdr:colOff>
      <xdr:row>292</xdr:row>
      <xdr:rowOff>9525</xdr:rowOff>
    </xdr:from>
    <xdr:to>
      <xdr:col>3</xdr:col>
      <xdr:colOff>1028700</xdr:colOff>
      <xdr:row>294</xdr:row>
      <xdr:rowOff>152400</xdr:rowOff>
    </xdr:to>
    <xdr:sp macro="" textlink="">
      <xdr:nvSpPr>
        <xdr:cNvPr id="105634" name="Line 23"/>
        <xdr:cNvSpPr>
          <a:spLocks noChangeShapeType="1"/>
        </xdr:cNvSpPr>
      </xdr:nvSpPr>
      <xdr:spPr bwMode="auto">
        <a:xfrm flipH="1">
          <a:off x="5276850" y="49406175"/>
          <a:ext cx="1000125" cy="466725"/>
        </a:xfrm>
        <a:prstGeom prst="line">
          <a:avLst/>
        </a:prstGeom>
        <a:noFill/>
        <a:ln w="9525">
          <a:solidFill>
            <a:srgbClr val="000000"/>
          </a:solidFill>
          <a:round/>
          <a:headEnd/>
          <a:tailEnd type="triangle" w="med" len="med"/>
        </a:ln>
      </xdr:spPr>
    </xdr:sp>
    <xdr:clientData/>
  </xdr:twoCellAnchor>
  <xdr:twoCellAnchor>
    <xdr:from>
      <xdr:col>5</xdr:col>
      <xdr:colOff>19050</xdr:colOff>
      <xdr:row>292</xdr:row>
      <xdr:rowOff>19050</xdr:rowOff>
    </xdr:from>
    <xdr:to>
      <xdr:col>5</xdr:col>
      <xdr:colOff>1028700</xdr:colOff>
      <xdr:row>294</xdr:row>
      <xdr:rowOff>142875</xdr:rowOff>
    </xdr:to>
    <xdr:sp macro="" textlink="">
      <xdr:nvSpPr>
        <xdr:cNvPr id="105635" name="Line 24"/>
        <xdr:cNvSpPr>
          <a:spLocks noChangeShapeType="1"/>
        </xdr:cNvSpPr>
      </xdr:nvSpPr>
      <xdr:spPr bwMode="auto">
        <a:xfrm>
          <a:off x="7362825" y="49415700"/>
          <a:ext cx="1009650" cy="447675"/>
        </a:xfrm>
        <a:prstGeom prst="line">
          <a:avLst/>
        </a:prstGeom>
        <a:noFill/>
        <a:ln w="9525">
          <a:solidFill>
            <a:srgbClr val="000000"/>
          </a:solidFill>
          <a:round/>
          <a:headEnd/>
          <a:tailEnd type="triangle" w="med" len="med"/>
        </a:ln>
      </xdr:spPr>
    </xdr:sp>
    <xdr:clientData/>
  </xdr:twoCellAnchor>
  <xdr:twoCellAnchor>
    <xdr:from>
      <xdr:col>3</xdr:col>
      <xdr:colOff>76200</xdr:colOff>
      <xdr:row>295</xdr:row>
      <xdr:rowOff>114300</xdr:rowOff>
    </xdr:from>
    <xdr:to>
      <xdr:col>5</xdr:col>
      <xdr:colOff>1000125</xdr:colOff>
      <xdr:row>295</xdr:row>
      <xdr:rowOff>114300</xdr:rowOff>
    </xdr:to>
    <xdr:sp macro="" textlink="">
      <xdr:nvSpPr>
        <xdr:cNvPr id="105636" name="Line 25"/>
        <xdr:cNvSpPr>
          <a:spLocks noChangeShapeType="1"/>
        </xdr:cNvSpPr>
      </xdr:nvSpPr>
      <xdr:spPr bwMode="auto">
        <a:xfrm>
          <a:off x="5324475" y="49996725"/>
          <a:ext cx="3019425" cy="0"/>
        </a:xfrm>
        <a:prstGeom prst="line">
          <a:avLst/>
        </a:prstGeom>
        <a:noFill/>
        <a:ln w="9525">
          <a:solidFill>
            <a:srgbClr val="000000"/>
          </a:solidFill>
          <a:round/>
          <a:headEnd/>
          <a:tailEnd type="triangle" w="med" len="med"/>
        </a:ln>
      </xdr:spPr>
    </xdr:sp>
    <xdr:clientData/>
  </xdr:twoCellAnchor>
  <xdr:twoCellAnchor>
    <xdr:from>
      <xdr:col>6</xdr:col>
      <xdr:colOff>1009650</xdr:colOff>
      <xdr:row>296</xdr:row>
      <xdr:rowOff>38100</xdr:rowOff>
    </xdr:from>
    <xdr:to>
      <xdr:col>6</xdr:col>
      <xdr:colOff>1009650</xdr:colOff>
      <xdr:row>297</xdr:row>
      <xdr:rowOff>114300</xdr:rowOff>
    </xdr:to>
    <xdr:sp macro="" textlink="">
      <xdr:nvSpPr>
        <xdr:cNvPr id="105637" name="Line 26"/>
        <xdr:cNvSpPr>
          <a:spLocks noChangeShapeType="1"/>
        </xdr:cNvSpPr>
      </xdr:nvSpPr>
      <xdr:spPr bwMode="auto">
        <a:xfrm>
          <a:off x="9401175" y="50082450"/>
          <a:ext cx="0" cy="238125"/>
        </a:xfrm>
        <a:prstGeom prst="line">
          <a:avLst/>
        </a:prstGeom>
        <a:noFill/>
        <a:ln w="9525">
          <a:solidFill>
            <a:srgbClr val="000000"/>
          </a:solidFill>
          <a:round/>
          <a:headEnd/>
          <a:tailEnd type="triangle" w="med" len="med"/>
        </a:ln>
      </xdr:spPr>
    </xdr:sp>
    <xdr:clientData/>
  </xdr:twoCellAnchor>
  <xdr:twoCellAnchor>
    <xdr:from>
      <xdr:col>3</xdr:col>
      <xdr:colOff>76200</xdr:colOff>
      <xdr:row>359</xdr:row>
      <xdr:rowOff>19050</xdr:rowOff>
    </xdr:from>
    <xdr:to>
      <xdr:col>4</xdr:col>
      <xdr:colOff>981075</xdr:colOff>
      <xdr:row>359</xdr:row>
      <xdr:rowOff>19050</xdr:rowOff>
    </xdr:to>
    <xdr:sp macro="" textlink="">
      <xdr:nvSpPr>
        <xdr:cNvPr id="105638" name="Line 30"/>
        <xdr:cNvSpPr>
          <a:spLocks noChangeShapeType="1"/>
        </xdr:cNvSpPr>
      </xdr:nvSpPr>
      <xdr:spPr bwMode="auto">
        <a:xfrm>
          <a:off x="5324475" y="55930800"/>
          <a:ext cx="1952625" cy="0"/>
        </a:xfrm>
        <a:prstGeom prst="line">
          <a:avLst/>
        </a:prstGeom>
        <a:noFill/>
        <a:ln w="38100">
          <a:solidFill>
            <a:srgbClr val="000000"/>
          </a:solidFill>
          <a:round/>
          <a:headEnd/>
          <a:tailEnd type="triangle" w="med" len="med"/>
        </a:ln>
      </xdr:spPr>
    </xdr:sp>
    <xdr:clientData/>
  </xdr:twoCellAnchor>
  <xdr:twoCellAnchor>
    <xdr:from>
      <xdr:col>3</xdr:col>
      <xdr:colOff>76200</xdr:colOff>
      <xdr:row>361</xdr:row>
      <xdr:rowOff>9525</xdr:rowOff>
    </xdr:from>
    <xdr:to>
      <xdr:col>4</xdr:col>
      <xdr:colOff>952500</xdr:colOff>
      <xdr:row>361</xdr:row>
      <xdr:rowOff>9525</xdr:rowOff>
    </xdr:to>
    <xdr:sp macro="" textlink="">
      <xdr:nvSpPr>
        <xdr:cNvPr id="105639" name="Line 31"/>
        <xdr:cNvSpPr>
          <a:spLocks noChangeShapeType="1"/>
        </xdr:cNvSpPr>
      </xdr:nvSpPr>
      <xdr:spPr bwMode="auto">
        <a:xfrm flipH="1">
          <a:off x="5324475" y="56245125"/>
          <a:ext cx="1924050" cy="0"/>
        </a:xfrm>
        <a:prstGeom prst="line">
          <a:avLst/>
        </a:prstGeom>
        <a:noFill/>
        <a:ln w="38100">
          <a:solidFill>
            <a:srgbClr val="000000"/>
          </a:solidFill>
          <a:round/>
          <a:headEnd/>
          <a:tailEnd type="triangle" w="med" len="med"/>
        </a:ln>
      </xdr:spPr>
    </xdr:sp>
    <xdr:clientData/>
  </xdr:twoCellAnchor>
  <xdr:twoCellAnchor>
    <xdr:from>
      <xdr:col>3</xdr:col>
      <xdr:colOff>104775</xdr:colOff>
      <xdr:row>365</xdr:row>
      <xdr:rowOff>19050</xdr:rowOff>
    </xdr:from>
    <xdr:to>
      <xdr:col>4</xdr:col>
      <xdr:colOff>971550</xdr:colOff>
      <xdr:row>365</xdr:row>
      <xdr:rowOff>19050</xdr:rowOff>
    </xdr:to>
    <xdr:sp macro="" textlink="">
      <xdr:nvSpPr>
        <xdr:cNvPr id="105640" name="Line 32">
          <a:hlinkClick xmlns:r="http://schemas.openxmlformats.org/officeDocument/2006/relationships" r:id="rId20"/>
        </xdr:cNvPr>
        <xdr:cNvSpPr>
          <a:spLocks noChangeShapeType="1"/>
        </xdr:cNvSpPr>
      </xdr:nvSpPr>
      <xdr:spPr bwMode="auto">
        <a:xfrm>
          <a:off x="5353050" y="56902350"/>
          <a:ext cx="1914525" cy="0"/>
        </a:xfrm>
        <a:prstGeom prst="line">
          <a:avLst/>
        </a:prstGeom>
        <a:noFill/>
        <a:ln w="38100">
          <a:solidFill>
            <a:srgbClr val="0000FF"/>
          </a:solidFill>
          <a:round/>
          <a:headEnd type="triangle" w="med" len="med"/>
          <a:tailEnd type="triangle" w="med" len="med"/>
        </a:ln>
      </xdr:spPr>
    </xdr:sp>
    <xdr:clientData/>
  </xdr:twoCellAnchor>
  <xdr:twoCellAnchor>
    <xdr:from>
      <xdr:col>6</xdr:col>
      <xdr:colOff>57150</xdr:colOff>
      <xdr:row>359</xdr:row>
      <xdr:rowOff>85725</xdr:rowOff>
    </xdr:from>
    <xdr:to>
      <xdr:col>6</xdr:col>
      <xdr:colOff>1085850</xdr:colOff>
      <xdr:row>359</xdr:row>
      <xdr:rowOff>85725</xdr:rowOff>
    </xdr:to>
    <xdr:sp macro="" textlink="">
      <xdr:nvSpPr>
        <xdr:cNvPr id="105641" name="Line 33"/>
        <xdr:cNvSpPr>
          <a:spLocks noChangeShapeType="1"/>
        </xdr:cNvSpPr>
      </xdr:nvSpPr>
      <xdr:spPr bwMode="auto">
        <a:xfrm>
          <a:off x="8448675" y="55997475"/>
          <a:ext cx="1028700" cy="0"/>
        </a:xfrm>
        <a:prstGeom prst="line">
          <a:avLst/>
        </a:prstGeom>
        <a:noFill/>
        <a:ln w="9525">
          <a:solidFill>
            <a:srgbClr val="000000"/>
          </a:solidFill>
          <a:round/>
          <a:headEnd type="triangle" w="med" len="med"/>
          <a:tailEnd type="triangle" w="med" len="med"/>
        </a:ln>
      </xdr:spPr>
    </xdr:sp>
    <xdr:clientData/>
  </xdr:twoCellAnchor>
  <xdr:twoCellAnchor>
    <xdr:from>
      <xdr:col>6</xdr:col>
      <xdr:colOff>76200</xdr:colOff>
      <xdr:row>359</xdr:row>
      <xdr:rowOff>152400</xdr:rowOff>
    </xdr:from>
    <xdr:to>
      <xdr:col>6</xdr:col>
      <xdr:colOff>1095375</xdr:colOff>
      <xdr:row>360</xdr:row>
      <xdr:rowOff>66675</xdr:rowOff>
    </xdr:to>
    <xdr:sp macro="" textlink="">
      <xdr:nvSpPr>
        <xdr:cNvPr id="105642" name="Line 34"/>
        <xdr:cNvSpPr>
          <a:spLocks noChangeShapeType="1"/>
        </xdr:cNvSpPr>
      </xdr:nvSpPr>
      <xdr:spPr bwMode="auto">
        <a:xfrm>
          <a:off x="8467725" y="56064150"/>
          <a:ext cx="1019175" cy="76200"/>
        </a:xfrm>
        <a:prstGeom prst="line">
          <a:avLst/>
        </a:prstGeom>
        <a:noFill/>
        <a:ln w="9525">
          <a:solidFill>
            <a:srgbClr val="000000"/>
          </a:solidFill>
          <a:round/>
          <a:headEnd type="triangle" w="med" len="med"/>
          <a:tailEnd type="triangle" w="med" len="med"/>
        </a:ln>
      </xdr:spPr>
    </xdr:sp>
    <xdr:clientData/>
  </xdr:twoCellAnchor>
  <xdr:twoCellAnchor>
    <xdr:from>
      <xdr:col>6</xdr:col>
      <xdr:colOff>47625</xdr:colOff>
      <xdr:row>360</xdr:row>
      <xdr:rowOff>76200</xdr:rowOff>
    </xdr:from>
    <xdr:to>
      <xdr:col>6</xdr:col>
      <xdr:colOff>1085850</xdr:colOff>
      <xdr:row>361</xdr:row>
      <xdr:rowOff>76200</xdr:rowOff>
    </xdr:to>
    <xdr:sp macro="" textlink="">
      <xdr:nvSpPr>
        <xdr:cNvPr id="105643" name="Line 35"/>
        <xdr:cNvSpPr>
          <a:spLocks noChangeShapeType="1"/>
        </xdr:cNvSpPr>
      </xdr:nvSpPr>
      <xdr:spPr bwMode="auto">
        <a:xfrm>
          <a:off x="8439150" y="56149875"/>
          <a:ext cx="1038225" cy="161925"/>
        </a:xfrm>
        <a:prstGeom prst="line">
          <a:avLst/>
        </a:prstGeom>
        <a:noFill/>
        <a:ln w="9525">
          <a:solidFill>
            <a:srgbClr val="000000"/>
          </a:solidFill>
          <a:round/>
          <a:headEnd type="triangle" w="med" len="med"/>
          <a:tailEnd type="triangle" w="med" len="med"/>
        </a:ln>
      </xdr:spPr>
    </xdr:sp>
    <xdr:clientData/>
  </xdr:twoCellAnchor>
  <xdr:twoCellAnchor>
    <xdr:from>
      <xdr:col>6</xdr:col>
      <xdr:colOff>57150</xdr:colOff>
      <xdr:row>360</xdr:row>
      <xdr:rowOff>142875</xdr:rowOff>
    </xdr:from>
    <xdr:to>
      <xdr:col>6</xdr:col>
      <xdr:colOff>1095375</xdr:colOff>
      <xdr:row>362</xdr:row>
      <xdr:rowOff>76200</xdr:rowOff>
    </xdr:to>
    <xdr:sp macro="" textlink="">
      <xdr:nvSpPr>
        <xdr:cNvPr id="105644" name="Line 36"/>
        <xdr:cNvSpPr>
          <a:spLocks noChangeShapeType="1"/>
        </xdr:cNvSpPr>
      </xdr:nvSpPr>
      <xdr:spPr bwMode="auto">
        <a:xfrm flipH="1" flipV="1">
          <a:off x="8448675" y="56216550"/>
          <a:ext cx="1038225" cy="257175"/>
        </a:xfrm>
        <a:prstGeom prst="line">
          <a:avLst/>
        </a:prstGeom>
        <a:noFill/>
        <a:ln w="9525">
          <a:solidFill>
            <a:srgbClr val="000000"/>
          </a:solidFill>
          <a:round/>
          <a:headEnd type="triangle" w="med" len="med"/>
          <a:tailEnd type="triangle" w="med" len="med"/>
        </a:ln>
      </xdr:spPr>
    </xdr:sp>
    <xdr:clientData/>
  </xdr:twoCellAnchor>
  <xdr:twoCellAnchor>
    <xdr:from>
      <xdr:col>6</xdr:col>
      <xdr:colOff>76200</xdr:colOff>
      <xdr:row>361</xdr:row>
      <xdr:rowOff>76200</xdr:rowOff>
    </xdr:from>
    <xdr:to>
      <xdr:col>6</xdr:col>
      <xdr:colOff>1076325</xdr:colOff>
      <xdr:row>363</xdr:row>
      <xdr:rowOff>85725</xdr:rowOff>
    </xdr:to>
    <xdr:sp macro="" textlink="">
      <xdr:nvSpPr>
        <xdr:cNvPr id="105645" name="Line 37"/>
        <xdr:cNvSpPr>
          <a:spLocks noChangeShapeType="1"/>
        </xdr:cNvSpPr>
      </xdr:nvSpPr>
      <xdr:spPr bwMode="auto">
        <a:xfrm flipH="1" flipV="1">
          <a:off x="8467725" y="56311800"/>
          <a:ext cx="1000125" cy="333375"/>
        </a:xfrm>
        <a:prstGeom prst="line">
          <a:avLst/>
        </a:prstGeom>
        <a:noFill/>
        <a:ln w="9525">
          <a:solidFill>
            <a:srgbClr val="000000"/>
          </a:solidFill>
          <a:round/>
          <a:headEnd type="triangle" w="med" len="med"/>
          <a:tailEnd type="triangle" w="med" len="med"/>
        </a:ln>
      </xdr:spPr>
    </xdr:sp>
    <xdr:clientData/>
  </xdr:twoCellAnchor>
  <xdr:twoCellAnchor>
    <xdr:from>
      <xdr:col>6</xdr:col>
      <xdr:colOff>85725</xdr:colOff>
      <xdr:row>361</xdr:row>
      <xdr:rowOff>152400</xdr:rowOff>
    </xdr:from>
    <xdr:to>
      <xdr:col>6</xdr:col>
      <xdr:colOff>1085850</xdr:colOff>
      <xdr:row>365</xdr:row>
      <xdr:rowOff>85725</xdr:rowOff>
    </xdr:to>
    <xdr:sp macro="" textlink="">
      <xdr:nvSpPr>
        <xdr:cNvPr id="105646" name="Line 39"/>
        <xdr:cNvSpPr>
          <a:spLocks noChangeShapeType="1"/>
        </xdr:cNvSpPr>
      </xdr:nvSpPr>
      <xdr:spPr bwMode="auto">
        <a:xfrm>
          <a:off x="8477250" y="56388000"/>
          <a:ext cx="1000125" cy="581025"/>
        </a:xfrm>
        <a:prstGeom prst="line">
          <a:avLst/>
        </a:prstGeom>
        <a:noFill/>
        <a:ln w="12700">
          <a:solidFill>
            <a:srgbClr val="000000"/>
          </a:solidFill>
          <a:round/>
          <a:headEnd type="triangle" w="med" len="med"/>
          <a:tailEnd type="triangle" w="med" len="med"/>
        </a:ln>
      </xdr:spPr>
    </xdr:sp>
    <xdr:clientData/>
  </xdr:twoCellAnchor>
  <xdr:twoCellAnchor>
    <xdr:from>
      <xdr:col>6</xdr:col>
      <xdr:colOff>38100</xdr:colOff>
      <xdr:row>366</xdr:row>
      <xdr:rowOff>0</xdr:rowOff>
    </xdr:from>
    <xdr:to>
      <xdr:col>6</xdr:col>
      <xdr:colOff>1104900</xdr:colOff>
      <xdr:row>366</xdr:row>
      <xdr:rowOff>0</xdr:rowOff>
    </xdr:to>
    <xdr:sp macro="" textlink="">
      <xdr:nvSpPr>
        <xdr:cNvPr id="105647" name="Line 43"/>
        <xdr:cNvSpPr>
          <a:spLocks noChangeShapeType="1"/>
        </xdr:cNvSpPr>
      </xdr:nvSpPr>
      <xdr:spPr bwMode="auto">
        <a:xfrm>
          <a:off x="8429625" y="57045225"/>
          <a:ext cx="1066800" cy="0"/>
        </a:xfrm>
        <a:prstGeom prst="line">
          <a:avLst/>
        </a:prstGeom>
        <a:noFill/>
        <a:ln w="38100">
          <a:solidFill>
            <a:srgbClr val="000000"/>
          </a:solidFill>
          <a:prstDash val="dash"/>
          <a:round/>
          <a:headEnd type="triangle" w="med" len="med"/>
          <a:tailEnd type="triangle" w="med" len="med"/>
        </a:ln>
      </xdr:spPr>
    </xdr:sp>
    <xdr:clientData/>
  </xdr:twoCellAnchor>
  <xdr:twoCellAnchor editAs="oneCell">
    <xdr:from>
      <xdr:col>5</xdr:col>
      <xdr:colOff>323850</xdr:colOff>
      <xdr:row>161</xdr:row>
      <xdr:rowOff>152400</xdr:rowOff>
    </xdr:from>
    <xdr:to>
      <xdr:col>5</xdr:col>
      <xdr:colOff>523875</xdr:colOff>
      <xdr:row>163</xdr:row>
      <xdr:rowOff>19050</xdr:rowOff>
    </xdr:to>
    <xdr:pic>
      <xdr:nvPicPr>
        <xdr:cNvPr id="36" name="Picture 10" descr="Vraagteken">
          <a:hlinkClick xmlns:r="http://schemas.openxmlformats.org/officeDocument/2006/relationships" r:id="rId21"/>
        </xdr:cNvPr>
        <xdr:cNvPicPr>
          <a:picLocks noChangeAspect="1" noChangeArrowheads="1"/>
        </xdr:cNvPicPr>
      </xdr:nvPicPr>
      <xdr:blipFill>
        <a:blip xmlns:r="http://schemas.openxmlformats.org/officeDocument/2006/relationships" r:embed="rId2" cstate="print"/>
        <a:srcRect/>
        <a:stretch>
          <a:fillRect/>
        </a:stretch>
      </xdr:blipFill>
      <xdr:spPr bwMode="auto">
        <a:xfrm>
          <a:off x="7667625" y="26717625"/>
          <a:ext cx="200025" cy="190500"/>
        </a:xfrm>
        <a:prstGeom prst="rect">
          <a:avLst/>
        </a:prstGeom>
        <a:noFill/>
        <a:ln w="9525">
          <a:noFill/>
          <a:miter lim="800000"/>
          <a:headEnd/>
          <a:tailEnd/>
        </a:ln>
      </xdr:spPr>
    </xdr:pic>
    <xdr:clientData/>
  </xdr:twoCellAnchor>
  <xdr:twoCellAnchor editAs="oneCell">
    <xdr:from>
      <xdr:col>5</xdr:col>
      <xdr:colOff>619125</xdr:colOff>
      <xdr:row>161</xdr:row>
      <xdr:rowOff>152400</xdr:rowOff>
    </xdr:from>
    <xdr:to>
      <xdr:col>5</xdr:col>
      <xdr:colOff>819150</xdr:colOff>
      <xdr:row>163</xdr:row>
      <xdr:rowOff>19050</xdr:rowOff>
    </xdr:to>
    <xdr:pic>
      <xdr:nvPicPr>
        <xdr:cNvPr id="37" name="Picture 10" descr="Vraagteken">
          <a:hlinkClick xmlns:r="http://schemas.openxmlformats.org/officeDocument/2006/relationships" r:id="rId22"/>
        </xdr:cNvPr>
        <xdr:cNvPicPr>
          <a:picLocks noChangeAspect="1" noChangeArrowheads="1"/>
        </xdr:cNvPicPr>
      </xdr:nvPicPr>
      <xdr:blipFill>
        <a:blip xmlns:r="http://schemas.openxmlformats.org/officeDocument/2006/relationships" r:embed="rId2" cstate="print"/>
        <a:srcRect/>
        <a:stretch>
          <a:fillRect/>
        </a:stretch>
      </xdr:blipFill>
      <xdr:spPr bwMode="auto">
        <a:xfrm>
          <a:off x="7962900" y="26717625"/>
          <a:ext cx="200025" cy="190500"/>
        </a:xfrm>
        <a:prstGeom prst="rect">
          <a:avLst/>
        </a:prstGeom>
        <a:noFill/>
        <a:ln w="9525">
          <a:noFill/>
          <a:miter lim="800000"/>
          <a:headEnd/>
          <a:tailEnd/>
        </a:ln>
      </xdr:spPr>
    </xdr:pic>
    <xdr:clientData/>
  </xdr:twoCellAnchor>
  <xdr:twoCellAnchor editAs="oneCell">
    <xdr:from>
      <xdr:col>5</xdr:col>
      <xdr:colOff>323850</xdr:colOff>
      <xdr:row>157</xdr:row>
      <xdr:rowOff>152400</xdr:rowOff>
    </xdr:from>
    <xdr:to>
      <xdr:col>5</xdr:col>
      <xdr:colOff>523875</xdr:colOff>
      <xdr:row>159</xdr:row>
      <xdr:rowOff>19051</xdr:rowOff>
    </xdr:to>
    <xdr:pic>
      <xdr:nvPicPr>
        <xdr:cNvPr id="38" name="Picture 10" descr="Vraagteken">
          <a:hlinkClick xmlns:r="http://schemas.openxmlformats.org/officeDocument/2006/relationships" r:id="rId23"/>
        </xdr:cNvPr>
        <xdr:cNvPicPr>
          <a:picLocks noChangeAspect="1" noChangeArrowheads="1"/>
        </xdr:cNvPicPr>
      </xdr:nvPicPr>
      <xdr:blipFill>
        <a:blip xmlns:r="http://schemas.openxmlformats.org/officeDocument/2006/relationships" r:embed="rId2" cstate="print"/>
        <a:srcRect/>
        <a:stretch>
          <a:fillRect/>
        </a:stretch>
      </xdr:blipFill>
      <xdr:spPr bwMode="auto">
        <a:xfrm>
          <a:off x="7667625" y="26069925"/>
          <a:ext cx="200025" cy="190500"/>
        </a:xfrm>
        <a:prstGeom prst="rect">
          <a:avLst/>
        </a:prstGeom>
        <a:noFill/>
        <a:ln w="9525">
          <a:noFill/>
          <a:miter lim="800000"/>
          <a:headEnd/>
          <a:tailEnd/>
        </a:ln>
      </xdr:spPr>
    </xdr:pic>
    <xdr:clientData/>
  </xdr:twoCellAnchor>
  <xdr:twoCellAnchor editAs="oneCell">
    <xdr:from>
      <xdr:col>5</xdr:col>
      <xdr:colOff>323850</xdr:colOff>
      <xdr:row>164</xdr:row>
      <xdr:rowOff>142875</xdr:rowOff>
    </xdr:from>
    <xdr:to>
      <xdr:col>5</xdr:col>
      <xdr:colOff>523875</xdr:colOff>
      <xdr:row>166</xdr:row>
      <xdr:rowOff>9526</xdr:rowOff>
    </xdr:to>
    <xdr:pic>
      <xdr:nvPicPr>
        <xdr:cNvPr id="39" name="Picture 10" descr="Vraagteken">
          <a:hlinkClick xmlns:r="http://schemas.openxmlformats.org/officeDocument/2006/relationships" r:id="rId24"/>
        </xdr:cNvPr>
        <xdr:cNvPicPr>
          <a:picLocks noChangeAspect="1" noChangeArrowheads="1"/>
        </xdr:cNvPicPr>
      </xdr:nvPicPr>
      <xdr:blipFill>
        <a:blip xmlns:r="http://schemas.openxmlformats.org/officeDocument/2006/relationships" r:embed="rId2" cstate="print"/>
        <a:srcRect/>
        <a:stretch>
          <a:fillRect/>
        </a:stretch>
      </xdr:blipFill>
      <xdr:spPr bwMode="auto">
        <a:xfrm>
          <a:off x="7667625" y="27193875"/>
          <a:ext cx="200025" cy="190500"/>
        </a:xfrm>
        <a:prstGeom prst="rect">
          <a:avLst/>
        </a:prstGeom>
        <a:noFill/>
        <a:ln w="9525">
          <a:noFill/>
          <a:miter lim="800000"/>
          <a:headEnd/>
          <a:tailEnd/>
        </a:ln>
      </xdr:spPr>
    </xdr:pic>
    <xdr:clientData/>
  </xdr:twoCellAnchor>
  <xdr:twoCellAnchor editAs="oneCell">
    <xdr:from>
      <xdr:col>5</xdr:col>
      <xdr:colOff>314325</xdr:colOff>
      <xdr:row>188</xdr:row>
      <xdr:rowOff>142875</xdr:rowOff>
    </xdr:from>
    <xdr:to>
      <xdr:col>5</xdr:col>
      <xdr:colOff>514350</xdr:colOff>
      <xdr:row>190</xdr:row>
      <xdr:rowOff>9524</xdr:rowOff>
    </xdr:to>
    <xdr:pic>
      <xdr:nvPicPr>
        <xdr:cNvPr id="40" name="Picture 10" descr="Vraagteken">
          <a:hlinkClick xmlns:r="http://schemas.openxmlformats.org/officeDocument/2006/relationships" r:id="rId25"/>
        </xdr:cNvPr>
        <xdr:cNvPicPr>
          <a:picLocks noChangeAspect="1" noChangeArrowheads="1"/>
        </xdr:cNvPicPr>
      </xdr:nvPicPr>
      <xdr:blipFill>
        <a:blip xmlns:r="http://schemas.openxmlformats.org/officeDocument/2006/relationships" r:embed="rId2" cstate="print"/>
        <a:srcRect/>
        <a:stretch>
          <a:fillRect/>
        </a:stretch>
      </xdr:blipFill>
      <xdr:spPr bwMode="auto">
        <a:xfrm>
          <a:off x="7658100" y="31080075"/>
          <a:ext cx="200025" cy="190500"/>
        </a:xfrm>
        <a:prstGeom prst="rect">
          <a:avLst/>
        </a:prstGeom>
        <a:noFill/>
        <a:ln w="9525">
          <a:noFill/>
          <a:miter lim="800000"/>
          <a:headEnd/>
          <a:tailEnd/>
        </a:ln>
      </xdr:spPr>
    </xdr:pic>
    <xdr:clientData/>
  </xdr:twoCellAnchor>
  <xdr:twoCellAnchor editAs="oneCell">
    <xdr:from>
      <xdr:col>1</xdr:col>
      <xdr:colOff>2333625</xdr:colOff>
      <xdr:row>216</xdr:row>
      <xdr:rowOff>0</xdr:rowOff>
    </xdr:from>
    <xdr:to>
      <xdr:col>1</xdr:col>
      <xdr:colOff>2533650</xdr:colOff>
      <xdr:row>217</xdr:row>
      <xdr:rowOff>28575</xdr:rowOff>
    </xdr:to>
    <xdr:pic>
      <xdr:nvPicPr>
        <xdr:cNvPr id="41" name="Picture 10" descr="Vraagteken">
          <a:hlinkClick xmlns:r="http://schemas.openxmlformats.org/officeDocument/2006/relationships" r:id="rId26"/>
        </xdr:cNvPr>
        <xdr:cNvPicPr>
          <a:picLocks noChangeAspect="1" noChangeArrowheads="1"/>
        </xdr:cNvPicPr>
      </xdr:nvPicPr>
      <xdr:blipFill>
        <a:blip xmlns:r="http://schemas.openxmlformats.org/officeDocument/2006/relationships" r:embed="rId2" cstate="print"/>
        <a:srcRect/>
        <a:stretch>
          <a:fillRect/>
        </a:stretch>
      </xdr:blipFill>
      <xdr:spPr bwMode="auto">
        <a:xfrm>
          <a:off x="2590800" y="35652075"/>
          <a:ext cx="200025" cy="190500"/>
        </a:xfrm>
        <a:prstGeom prst="rect">
          <a:avLst/>
        </a:prstGeom>
        <a:noFill/>
        <a:ln w="9525">
          <a:noFill/>
          <a:miter lim="800000"/>
          <a:headEnd/>
          <a:tailEnd/>
        </a:ln>
      </xdr:spPr>
    </xdr:pic>
    <xdr:clientData/>
  </xdr:twoCellAnchor>
  <xdr:twoCellAnchor editAs="oneCell">
    <xdr:from>
      <xdr:col>5</xdr:col>
      <xdr:colOff>314325</xdr:colOff>
      <xdr:row>187</xdr:row>
      <xdr:rowOff>0</xdr:rowOff>
    </xdr:from>
    <xdr:to>
      <xdr:col>5</xdr:col>
      <xdr:colOff>514350</xdr:colOff>
      <xdr:row>188</xdr:row>
      <xdr:rowOff>28575</xdr:rowOff>
    </xdr:to>
    <xdr:pic>
      <xdr:nvPicPr>
        <xdr:cNvPr id="42" name="Picture 10" descr="Vraagteken">
          <a:hlinkClick xmlns:r="http://schemas.openxmlformats.org/officeDocument/2006/relationships" r:id="rId27"/>
        </xdr:cNvPr>
        <xdr:cNvPicPr>
          <a:picLocks noChangeAspect="1" noChangeArrowheads="1"/>
        </xdr:cNvPicPr>
      </xdr:nvPicPr>
      <xdr:blipFill>
        <a:blip xmlns:r="http://schemas.openxmlformats.org/officeDocument/2006/relationships" r:embed="rId2" cstate="print"/>
        <a:srcRect/>
        <a:stretch>
          <a:fillRect/>
        </a:stretch>
      </xdr:blipFill>
      <xdr:spPr bwMode="auto">
        <a:xfrm>
          <a:off x="7658100" y="30775275"/>
          <a:ext cx="200025" cy="190500"/>
        </a:xfrm>
        <a:prstGeom prst="rect">
          <a:avLst/>
        </a:prstGeom>
        <a:noFill/>
        <a:ln w="9525">
          <a:noFill/>
          <a:miter lim="800000"/>
          <a:headEnd/>
          <a:tailEnd/>
        </a:ln>
      </xdr:spPr>
    </xdr:pic>
    <xdr:clientData/>
  </xdr:twoCellAnchor>
  <xdr:twoCellAnchor editAs="oneCell">
    <xdr:from>
      <xdr:col>5</xdr:col>
      <xdr:colOff>323850</xdr:colOff>
      <xdr:row>181</xdr:row>
      <xdr:rowOff>9525</xdr:rowOff>
    </xdr:from>
    <xdr:to>
      <xdr:col>5</xdr:col>
      <xdr:colOff>523875</xdr:colOff>
      <xdr:row>182</xdr:row>
      <xdr:rowOff>38100</xdr:rowOff>
    </xdr:to>
    <xdr:pic>
      <xdr:nvPicPr>
        <xdr:cNvPr id="43" name="Picture 10" descr="Vraagteken">
          <a:hlinkClick xmlns:r="http://schemas.openxmlformats.org/officeDocument/2006/relationships" r:id="rId28"/>
        </xdr:cNvPr>
        <xdr:cNvPicPr>
          <a:picLocks noChangeAspect="1" noChangeArrowheads="1"/>
        </xdr:cNvPicPr>
      </xdr:nvPicPr>
      <xdr:blipFill>
        <a:blip xmlns:r="http://schemas.openxmlformats.org/officeDocument/2006/relationships" r:embed="rId2" cstate="print"/>
        <a:srcRect/>
        <a:stretch>
          <a:fillRect/>
        </a:stretch>
      </xdr:blipFill>
      <xdr:spPr bwMode="auto">
        <a:xfrm>
          <a:off x="7667625" y="29813250"/>
          <a:ext cx="200025" cy="190500"/>
        </a:xfrm>
        <a:prstGeom prst="rect">
          <a:avLst/>
        </a:prstGeom>
        <a:noFill/>
        <a:ln w="9525">
          <a:noFill/>
          <a:miter lim="800000"/>
          <a:headEnd/>
          <a:tailEnd/>
        </a:ln>
      </xdr:spPr>
    </xdr:pic>
    <xdr:clientData/>
  </xdr:twoCellAnchor>
  <xdr:oneCellAnchor>
    <xdr:from>
      <xdr:col>3</xdr:col>
      <xdr:colOff>963247</xdr:colOff>
      <xdr:row>348</xdr:row>
      <xdr:rowOff>14827</xdr:rowOff>
    </xdr:from>
    <xdr:ext cx="1178656" cy="781111"/>
    <xdr:sp macro="" textlink="">
      <xdr:nvSpPr>
        <xdr:cNvPr id="44" name="Rechthoek 43">
          <a:hlinkClick xmlns:r="http://schemas.openxmlformats.org/officeDocument/2006/relationships" r:id="rId29"/>
        </xdr:cNvPr>
        <xdr:cNvSpPr/>
      </xdr:nvSpPr>
      <xdr:spPr>
        <a:xfrm>
          <a:off x="6211522" y="58050652"/>
          <a:ext cx="1178656" cy="781111"/>
        </a:xfrm>
        <a:prstGeom prst="rect">
          <a:avLst/>
        </a:prstGeom>
        <a:noFill/>
      </xdr:spPr>
      <xdr:txBody>
        <a:bodyPr wrap="none" lIns="91440" tIns="45720" rIns="91440" bIns="45720">
          <a:spAutoFit/>
        </a:bodyPr>
        <a:lstStyle/>
        <a:p>
          <a:pPr algn="ctr"/>
          <a:r>
            <a:rPr lang="nl-NL" sz="4400" b="1" i="1" cap="none" spc="50">
              <a:ln w="13500">
                <a:solidFill>
                  <a:schemeClr val="accent1">
                    <a:shade val="2500"/>
                    <a:alpha val="6500"/>
                  </a:schemeClr>
                </a:solidFill>
                <a:prstDash val="solid"/>
              </a:ln>
              <a:solidFill>
                <a:schemeClr val="accent1">
                  <a:tint val="3000"/>
                  <a:alpha val="95000"/>
                </a:schemeClr>
              </a:solidFill>
              <a:effectLst>
                <a:innerShdw blurRad="50900" dist="38500" dir="13500000">
                  <a:srgbClr val="000000">
                    <a:alpha val="60000"/>
                  </a:srgbClr>
                </a:innerShdw>
              </a:effectLst>
            </a:rPr>
            <a:t>SNA</a:t>
          </a:r>
        </a:p>
      </xdr:txBody>
    </xdr:sp>
    <xdr:clientData/>
  </xdr:oneCellAnchor>
  <xdr:oneCellAnchor>
    <xdr:from>
      <xdr:col>5</xdr:col>
      <xdr:colOff>344122</xdr:colOff>
      <xdr:row>348</xdr:row>
      <xdr:rowOff>14827</xdr:rowOff>
    </xdr:from>
    <xdr:ext cx="1178656" cy="781111"/>
    <xdr:sp macro="" textlink="">
      <xdr:nvSpPr>
        <xdr:cNvPr id="45" name="Rechthoek 44">
          <a:hlinkClick xmlns:r="http://schemas.openxmlformats.org/officeDocument/2006/relationships" r:id="rId30"/>
        </xdr:cNvPr>
        <xdr:cNvSpPr/>
      </xdr:nvSpPr>
      <xdr:spPr>
        <a:xfrm>
          <a:off x="7687897" y="58050652"/>
          <a:ext cx="1178656" cy="781111"/>
        </a:xfrm>
        <a:prstGeom prst="rect">
          <a:avLst/>
        </a:prstGeom>
        <a:noFill/>
      </xdr:spPr>
      <xdr:txBody>
        <a:bodyPr wrap="none" lIns="91440" tIns="45720" rIns="91440" bIns="45720">
          <a:spAutoFit/>
        </a:bodyPr>
        <a:lstStyle/>
        <a:p>
          <a:pPr algn="ctr"/>
          <a:r>
            <a:rPr lang="nl-NL" sz="4400" b="1" i="1" cap="none" spc="50">
              <a:ln w="13500">
                <a:solidFill>
                  <a:schemeClr val="accent1">
                    <a:shade val="2500"/>
                    <a:alpha val="6500"/>
                  </a:schemeClr>
                </a:solidFill>
                <a:prstDash val="solid"/>
              </a:ln>
              <a:solidFill>
                <a:schemeClr val="accent1">
                  <a:tint val="3000"/>
                  <a:alpha val="95000"/>
                </a:schemeClr>
              </a:solidFill>
              <a:effectLst>
                <a:innerShdw blurRad="50900" dist="38500" dir="13500000">
                  <a:srgbClr val="000000">
                    <a:alpha val="60000"/>
                  </a:srgbClr>
                </a:innerShdw>
              </a:effectLst>
            </a:rPr>
            <a:t>SNA</a:t>
          </a:r>
        </a:p>
      </xdr:txBody>
    </xdr:sp>
    <xdr:clientData/>
  </xdr:oneCellAnchor>
  <xdr:oneCellAnchor>
    <xdr:from>
      <xdr:col>6</xdr:col>
      <xdr:colOff>648922</xdr:colOff>
      <xdr:row>348</xdr:row>
      <xdr:rowOff>14827</xdr:rowOff>
    </xdr:from>
    <xdr:ext cx="1178656" cy="781111"/>
    <xdr:sp macro="" textlink="">
      <xdr:nvSpPr>
        <xdr:cNvPr id="46" name="Rechthoek 45">
          <a:hlinkClick xmlns:r="http://schemas.openxmlformats.org/officeDocument/2006/relationships" r:id="rId31"/>
        </xdr:cNvPr>
        <xdr:cNvSpPr/>
      </xdr:nvSpPr>
      <xdr:spPr>
        <a:xfrm>
          <a:off x="9040447" y="58050652"/>
          <a:ext cx="1178656" cy="781111"/>
        </a:xfrm>
        <a:prstGeom prst="rect">
          <a:avLst/>
        </a:prstGeom>
        <a:noFill/>
      </xdr:spPr>
      <xdr:txBody>
        <a:bodyPr wrap="none" lIns="91440" tIns="45720" rIns="91440" bIns="45720">
          <a:spAutoFit/>
        </a:bodyPr>
        <a:lstStyle/>
        <a:p>
          <a:pPr algn="ctr"/>
          <a:r>
            <a:rPr lang="nl-NL" sz="4400" b="1" i="1" cap="none" spc="50">
              <a:ln w="13500">
                <a:solidFill>
                  <a:schemeClr val="accent1">
                    <a:shade val="2500"/>
                    <a:alpha val="6500"/>
                  </a:schemeClr>
                </a:solidFill>
                <a:prstDash val="solid"/>
              </a:ln>
              <a:solidFill>
                <a:schemeClr val="accent1">
                  <a:tint val="3000"/>
                  <a:alpha val="95000"/>
                </a:schemeClr>
              </a:solidFill>
              <a:effectLst>
                <a:innerShdw blurRad="50900" dist="38500" dir="13500000">
                  <a:srgbClr val="000000">
                    <a:alpha val="60000"/>
                  </a:srgbClr>
                </a:innerShdw>
              </a:effectLst>
            </a:rPr>
            <a:t>SNA</a:t>
          </a:r>
        </a:p>
      </xdr:txBody>
    </xdr:sp>
    <xdr:clientData/>
  </xdr:oneCellAnchor>
  <xdr:twoCellAnchor editAs="oneCell">
    <xdr:from>
      <xdr:col>5</xdr:col>
      <xdr:colOff>333376</xdr:colOff>
      <xdr:row>152</xdr:row>
      <xdr:rowOff>154588</xdr:rowOff>
    </xdr:from>
    <xdr:to>
      <xdr:col>5</xdr:col>
      <xdr:colOff>533401</xdr:colOff>
      <xdr:row>154</xdr:row>
      <xdr:rowOff>13911</xdr:rowOff>
    </xdr:to>
    <xdr:pic>
      <xdr:nvPicPr>
        <xdr:cNvPr id="47" name="Picture 10" descr="Vraagteken">
          <a:hlinkClick xmlns:r="http://schemas.openxmlformats.org/officeDocument/2006/relationships" r:id="rId32"/>
        </xdr:cNvPr>
        <xdr:cNvPicPr>
          <a:picLocks noChangeAspect="1" noChangeArrowheads="1"/>
        </xdr:cNvPicPr>
      </xdr:nvPicPr>
      <xdr:blipFill>
        <a:blip xmlns:r="http://schemas.openxmlformats.org/officeDocument/2006/relationships" r:embed="rId2" cstate="print"/>
        <a:srcRect/>
        <a:stretch>
          <a:fillRect/>
        </a:stretch>
      </xdr:blipFill>
      <xdr:spPr bwMode="auto">
        <a:xfrm>
          <a:off x="7770203" y="25095434"/>
          <a:ext cx="200025" cy="18903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boomlemma.nl/economie-marketing/catalogus/hrm-voor-de-lijnmanager-3"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www.youtube.com/watch?v=RQ_HWfOigqw&amp;feature=PlayList&amp;p=B76967BF50A3BF74&amp;playnext=1&amp;index=1" TargetMode="External"/><Relationship Id="rId3" Type="http://schemas.openxmlformats.org/officeDocument/2006/relationships/hyperlink" Target="http://www.youtube.com/watch?v=2D8HjH31pfI" TargetMode="External"/><Relationship Id="rId7" Type="http://schemas.openxmlformats.org/officeDocument/2006/relationships/hyperlink" Target="https://www.youtube.com/watch?v=Ej4n3w4kMa4" TargetMode="External"/><Relationship Id="rId12" Type="http://schemas.openxmlformats.org/officeDocument/2006/relationships/drawing" Target="../drawings/drawing1.xml"/><Relationship Id="rId2" Type="http://schemas.openxmlformats.org/officeDocument/2006/relationships/hyperlink" Target="http://www.youtube.com/watch?v=GNXYI10Po6A" TargetMode="External"/><Relationship Id="rId1" Type="http://schemas.openxmlformats.org/officeDocument/2006/relationships/hyperlink" Target="http://www.ted.com/talks/simon_sinek_how_great_leaders_inspire_action.html" TargetMode="External"/><Relationship Id="rId6" Type="http://schemas.openxmlformats.org/officeDocument/2006/relationships/hyperlink" Target="http://www.youtube.com/user/virtualstrategist" TargetMode="External"/><Relationship Id="rId11" Type="http://schemas.openxmlformats.org/officeDocument/2006/relationships/hyperlink" Target="http://www.youtube.com/watch?v=Tw9fB6jxjI4" TargetMode="External"/><Relationship Id="rId5" Type="http://schemas.openxmlformats.org/officeDocument/2006/relationships/hyperlink" Target="http://www.youtube.com/watch?v=XtyCt83JLNY" TargetMode="External"/><Relationship Id="rId10" Type="http://schemas.openxmlformats.org/officeDocument/2006/relationships/hyperlink" Target="http://www.youtube.com/watch?v=hxF-MOe1yhI" TargetMode="External"/><Relationship Id="rId4" Type="http://schemas.openxmlformats.org/officeDocument/2006/relationships/hyperlink" Target="http://www.youtube.com/watch?v=n1rkGK3Qu1I" TargetMode="External"/><Relationship Id="rId9" Type="http://schemas.openxmlformats.org/officeDocument/2006/relationships/hyperlink" Target="http://www.youtube.com/watch?v=hVimVzgtD6w&amp;playnext=1&amp;videos=rlf--y78C_k"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www.youtube.com/watch?v=b4M_NiBWJr0" TargetMode="External"/><Relationship Id="rId13" Type="http://schemas.openxmlformats.org/officeDocument/2006/relationships/vmlDrawing" Target="../drawings/vmlDrawing1.vml"/><Relationship Id="rId3" Type="http://schemas.openxmlformats.org/officeDocument/2006/relationships/hyperlink" Target="http://www.youtube.com/watch?v=MmJWgoSGlj8" TargetMode="External"/><Relationship Id="rId7" Type="http://schemas.openxmlformats.org/officeDocument/2006/relationships/hyperlink" Target="https://www.youtube.com/watch?v=NNwx4HdFHz4" TargetMode="External"/><Relationship Id="rId12" Type="http://schemas.openxmlformats.org/officeDocument/2006/relationships/drawing" Target="../drawings/drawing2.xml"/><Relationship Id="rId2" Type="http://schemas.openxmlformats.org/officeDocument/2006/relationships/hyperlink" Target="http://www.youtube.com/watch?v=cYYLzZnuVuA" TargetMode="External"/><Relationship Id="rId1" Type="http://schemas.openxmlformats.org/officeDocument/2006/relationships/hyperlink" Target="https://www.youtube.com/watch?v=ibrxIP0H84M" TargetMode="External"/><Relationship Id="rId6" Type="http://schemas.openxmlformats.org/officeDocument/2006/relationships/hyperlink" Target="https://www.youtube.com/watch?v=Rd0kf3wd120" TargetMode="External"/><Relationship Id="rId11" Type="http://schemas.openxmlformats.org/officeDocument/2006/relationships/hyperlink" Target="http://www.youtube.com/watch?v=wZrf4snHcOs" TargetMode="External"/><Relationship Id="rId5" Type="http://schemas.openxmlformats.org/officeDocument/2006/relationships/hyperlink" Target="http://www.youtube.com/watch?v=92lg7EvwKBE&amp;feature=related" TargetMode="External"/><Relationship Id="rId10" Type="http://schemas.openxmlformats.org/officeDocument/2006/relationships/hyperlink" Target="http://www.youtube.com/watch?v=blcUmii_KTw" TargetMode="External"/><Relationship Id="rId4" Type="http://schemas.openxmlformats.org/officeDocument/2006/relationships/hyperlink" Target="http://www.youtube.com/watch?v=9tWz7C3R_yk" TargetMode="External"/><Relationship Id="rId9" Type="http://schemas.openxmlformats.org/officeDocument/2006/relationships/hyperlink" Target="http://www.youtube.com/watch?v=V_V8SPEPmR0&amp;feature=related" TargetMode="External"/><Relationship Id="rId1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8" Type="http://schemas.openxmlformats.org/officeDocument/2006/relationships/hyperlink" Target="http://www.youtube.com/watch?v=DAOxVlttEQM" TargetMode="External"/><Relationship Id="rId13" Type="http://schemas.openxmlformats.org/officeDocument/2006/relationships/hyperlink" Target="http://www.youtube.com/watch?v=JWMCykbciVU" TargetMode="External"/><Relationship Id="rId18" Type="http://schemas.openxmlformats.org/officeDocument/2006/relationships/hyperlink" Target="http://www.youtube.com/watch?v=HrVjp6IjuvQ" TargetMode="External"/><Relationship Id="rId3" Type="http://schemas.openxmlformats.org/officeDocument/2006/relationships/hyperlink" Target="https://www.youtube.com/watch?v=_DABacR-7kA" TargetMode="External"/><Relationship Id="rId21" Type="http://schemas.openxmlformats.org/officeDocument/2006/relationships/hyperlink" Target="http://www.youtube.com/watch?v=2cvJasO_gdc" TargetMode="External"/><Relationship Id="rId7" Type="http://schemas.openxmlformats.org/officeDocument/2006/relationships/hyperlink" Target="http://www.youtube.com/watch?v=2cbbWOnH42Y" TargetMode="External"/><Relationship Id="rId12" Type="http://schemas.openxmlformats.org/officeDocument/2006/relationships/hyperlink" Target="http://www.youtube.com/watch?v=QH44pyfM04Q" TargetMode="External"/><Relationship Id="rId17" Type="http://schemas.openxmlformats.org/officeDocument/2006/relationships/hyperlink" Target="https://www.youtube.com/watch?v=-OqDnLdhIMU" TargetMode="External"/><Relationship Id="rId2" Type="http://schemas.openxmlformats.org/officeDocument/2006/relationships/hyperlink" Target="http://www.youtube.com/watch?v=ssIIXdCxiEU" TargetMode="External"/><Relationship Id="rId16" Type="http://schemas.openxmlformats.org/officeDocument/2006/relationships/hyperlink" Target="https://www.youtube.com/watch?v=vhiJ24z_EB0" TargetMode="External"/><Relationship Id="rId20" Type="http://schemas.openxmlformats.org/officeDocument/2006/relationships/hyperlink" Target="http://www.youtube.com/watch?v=18GWVtVAAzs" TargetMode="External"/><Relationship Id="rId1" Type="http://schemas.openxmlformats.org/officeDocument/2006/relationships/hyperlink" Target="https://www.youtube.com/watch?v=dENYL2mk4OE" TargetMode="External"/><Relationship Id="rId6" Type="http://schemas.openxmlformats.org/officeDocument/2006/relationships/hyperlink" Target="http://www.youtube.com/watch?v=UY75MQte4RU" TargetMode="External"/><Relationship Id="rId11" Type="http://schemas.openxmlformats.org/officeDocument/2006/relationships/hyperlink" Target="https://www.youtube.com/watch?v=8j-hVE1DBgE" TargetMode="External"/><Relationship Id="rId24" Type="http://schemas.openxmlformats.org/officeDocument/2006/relationships/drawing" Target="../drawings/drawing3.xml"/><Relationship Id="rId5" Type="http://schemas.openxmlformats.org/officeDocument/2006/relationships/hyperlink" Target="http://www.youtube.com/watch?v=aLOuqT4Jdo0" TargetMode="External"/><Relationship Id="rId15" Type="http://schemas.openxmlformats.org/officeDocument/2006/relationships/hyperlink" Target="http://www.youtube.com/watch?v=KpP_aKi4w9c" TargetMode="External"/><Relationship Id="rId23" Type="http://schemas.openxmlformats.org/officeDocument/2006/relationships/printerSettings" Target="../printerSettings/printerSettings2.bin"/><Relationship Id="rId10" Type="http://schemas.openxmlformats.org/officeDocument/2006/relationships/hyperlink" Target="http://www.youtube.com/watch?v=5ABSF9FwXKA&amp;feature=PlayList&amp;p=33BEE60D74000BBF&amp;index=0&amp;playnext=1" TargetMode="External"/><Relationship Id="rId19" Type="http://schemas.openxmlformats.org/officeDocument/2006/relationships/hyperlink" Target="http://www.youtube.com/watch?v=YmOS3dj9h0s&amp;feature=related" TargetMode="External"/><Relationship Id="rId4" Type="http://schemas.openxmlformats.org/officeDocument/2006/relationships/hyperlink" Target="http://www.youtube.com/watch?v=m6NcRqCjGrM" TargetMode="External"/><Relationship Id="rId9" Type="http://schemas.openxmlformats.org/officeDocument/2006/relationships/hyperlink" Target="http://www.youtube.com/watch?v=0nN7Q7DrI6Q" TargetMode="External"/><Relationship Id="rId14" Type="http://schemas.openxmlformats.org/officeDocument/2006/relationships/hyperlink" Target="http://www.youtube.com/watch?v=kzCQ219bxl8" TargetMode="External"/><Relationship Id="rId22" Type="http://schemas.openxmlformats.org/officeDocument/2006/relationships/hyperlink" Target="https://www.youtube.com/watch?v=uThBb3kGf4k&amp;list=PLF47BA7BC6BDA46B1" TargetMode="External"/></Relationships>
</file>

<file path=xl/worksheets/_rels/sheet5.xml.rels><?xml version="1.0" encoding="UTF-8" standalone="yes"?>
<Relationships xmlns="http://schemas.openxmlformats.org/package/2006/relationships"><Relationship Id="rId8" Type="http://schemas.openxmlformats.org/officeDocument/2006/relationships/hyperlink" Target="http://www.youtube.com/watch?v=SIBoq-eu1gU&amp;feature=related" TargetMode="External"/><Relationship Id="rId13" Type="http://schemas.openxmlformats.org/officeDocument/2006/relationships/hyperlink" Target="https://www.youtube.com/watch?v=ZU3VuSUc7ew" TargetMode="External"/><Relationship Id="rId18" Type="http://schemas.openxmlformats.org/officeDocument/2006/relationships/hyperlink" Target="http://www.youtube.com/watch?v=WFzV1lypnBY" TargetMode="External"/><Relationship Id="rId26" Type="http://schemas.openxmlformats.org/officeDocument/2006/relationships/hyperlink" Target="http://www.youtube.com/watch?v=oL6bZxMpGOI" TargetMode="External"/><Relationship Id="rId39" Type="http://schemas.openxmlformats.org/officeDocument/2006/relationships/hyperlink" Target="https://www.youtube.com/watch?v=Ulx7-uUmK_Q&amp;list=PL3B38A4D27DF127FA&amp;index=13" TargetMode="External"/><Relationship Id="rId3" Type="http://schemas.openxmlformats.org/officeDocument/2006/relationships/hyperlink" Target="http://www.youtube.com/watch?v=yUvUTK4wvR4" TargetMode="External"/><Relationship Id="rId21" Type="http://schemas.openxmlformats.org/officeDocument/2006/relationships/hyperlink" Target="http://www.youtube.com/watch?v=17C6A-J9jhc&amp;list=UUmRCtqFRyIWS006yLFK_0GQ&amp;index=1&amp;feature=plcp" TargetMode="External"/><Relationship Id="rId34" Type="http://schemas.openxmlformats.org/officeDocument/2006/relationships/hyperlink" Target="http://www.google.nl/url?sa=t&amp;rct=j&amp;q=voornaamste%20wetgeving%20arbeidsongeschiktheid&amp;source=web&amp;cd=5&amp;ved=0CHMQFjAE&amp;url=http%3A%2F%2Fwww.rijksoverheid.nl%2Fbestanden%2Fdocumenten-en-publicaties%2Fkamerstukken%2F2012%2F04%2F23%2Fwetsvoorstel-en-memorie-van" TargetMode="External"/><Relationship Id="rId42" Type="http://schemas.openxmlformats.org/officeDocument/2006/relationships/hyperlink" Target="https://www.youtube.com/watch?v=ebkD-Msm7Qg" TargetMode="External"/><Relationship Id="rId47" Type="http://schemas.openxmlformats.org/officeDocument/2006/relationships/vmlDrawing" Target="../drawings/vmlDrawing2.vml"/><Relationship Id="rId7" Type="http://schemas.openxmlformats.org/officeDocument/2006/relationships/hyperlink" Target="http://www.youtube.com/watch?v=aRLkxAvQVFU" TargetMode="External"/><Relationship Id="rId12" Type="http://schemas.openxmlformats.org/officeDocument/2006/relationships/hyperlink" Target="http://www.youtube.com/watch?v=UyYaRkyHnP8" TargetMode="External"/><Relationship Id="rId17" Type="http://schemas.openxmlformats.org/officeDocument/2006/relationships/hyperlink" Target="http://www.youtube.com/watch?v=9nfF8sb3W9I" TargetMode="External"/><Relationship Id="rId25" Type="http://schemas.openxmlformats.org/officeDocument/2006/relationships/hyperlink" Target="http://www.ted.com/talks/simon_sinek_how_great_leaders_inspire_action.html" TargetMode="External"/><Relationship Id="rId33" Type="http://schemas.openxmlformats.org/officeDocument/2006/relationships/hyperlink" Target="http://books.google.nl/books?id=mFuPdd4y-b4C&amp;pg=PA82&amp;lpg=PA82&amp;dq=betrouwbaarheid+van+personeelsbeoordeling&amp;source=bl&amp;ots=Tl6upAjdgM&amp;sig=9qME0hIida4GfWCYbEnijDK_8PA&amp;hl=nl&amp;sa=X&amp;ei=QTUdUPvpN-qn0QXiloDIDA&amp;ved=0CFgQ6AEwBA" TargetMode="External"/><Relationship Id="rId38" Type="http://schemas.openxmlformats.org/officeDocument/2006/relationships/hyperlink" Target="http://www.youtube.com/watch?v=lr4n6t64Ca8&amp;feature=related" TargetMode="External"/><Relationship Id="rId46" Type="http://schemas.openxmlformats.org/officeDocument/2006/relationships/drawing" Target="../drawings/drawing4.xml"/><Relationship Id="rId2" Type="http://schemas.openxmlformats.org/officeDocument/2006/relationships/hyperlink" Target="http://www.youtube.com/watch?v=rYaZ57Bn4pQ&amp;feature=fvw" TargetMode="External"/><Relationship Id="rId16" Type="http://schemas.openxmlformats.org/officeDocument/2006/relationships/hyperlink" Target="http://www.fnvbouw.net/documenten/jaarboek/www/12/12.01._arbeidsinhoud.html" TargetMode="External"/><Relationship Id="rId20" Type="http://schemas.openxmlformats.org/officeDocument/2006/relationships/hyperlink" Target="https://www.youtube.com/watch?v=UnQnLccTe_c" TargetMode="External"/><Relationship Id="rId29" Type="http://schemas.openxmlformats.org/officeDocument/2006/relationships/hyperlink" Target="http://www.ted.com/talks/dan_pink_on_motivation.html" TargetMode="External"/><Relationship Id="rId41" Type="http://schemas.openxmlformats.org/officeDocument/2006/relationships/hyperlink" Target="http://www.youtube.com/watch?v=RmK6yY-ZfiE" TargetMode="External"/><Relationship Id="rId1" Type="http://schemas.openxmlformats.org/officeDocument/2006/relationships/hyperlink" Target="https://www.youtube.com/watch?v=aUpvLRiVwrE" TargetMode="External"/><Relationship Id="rId6" Type="http://schemas.openxmlformats.org/officeDocument/2006/relationships/hyperlink" Target="https://www.youtube.com/watch?v=AeFshON9OZg" TargetMode="External"/><Relationship Id="rId11" Type="http://schemas.openxmlformats.org/officeDocument/2006/relationships/hyperlink" Target="http://www.youtube.com/watch?v=WfLN-j0Oys4&amp;feature=channel" TargetMode="External"/><Relationship Id="rId24" Type="http://schemas.openxmlformats.org/officeDocument/2006/relationships/hyperlink" Target="http://www.ted.com/talks/derek_sivers_how_to_start_a_movement.html" TargetMode="External"/><Relationship Id="rId32" Type="http://schemas.openxmlformats.org/officeDocument/2006/relationships/hyperlink" Target="http://www.ted.com/talks/sheena_iyengar_on_the_art_of_choosing.html" TargetMode="External"/><Relationship Id="rId37" Type="http://schemas.openxmlformats.org/officeDocument/2006/relationships/hyperlink" Target="http://www.youtube.com/watch?v=vC_6Mcqzjkc&amp;feature=related" TargetMode="External"/><Relationship Id="rId40" Type="http://schemas.openxmlformats.org/officeDocument/2006/relationships/hyperlink" Target="http://www.youtube.com/watch?v=fpuHUiy_xog" TargetMode="External"/><Relationship Id="rId45" Type="http://schemas.openxmlformats.org/officeDocument/2006/relationships/printerSettings" Target="../printerSettings/printerSettings3.bin"/><Relationship Id="rId5" Type="http://schemas.openxmlformats.org/officeDocument/2006/relationships/hyperlink" Target="http://www.youtube.com/watch?v=D_aIifBXnUI" TargetMode="External"/><Relationship Id="rId15" Type="http://schemas.openxmlformats.org/officeDocument/2006/relationships/hyperlink" Target="http://www.managersonline.nl/nieuws/11774/arbeidsmarkt-2012-mismatch-tussen-vraag-en-aanbod-van-talent.html" TargetMode="External"/><Relationship Id="rId23" Type="http://schemas.openxmlformats.org/officeDocument/2006/relationships/hyperlink" Target="http://www.google.nl/url?sa=t&amp;rct=j&amp;q=&amp;esrc=s&amp;source=web&amp;cd=2&amp;ved=0CEUQFjAB&amp;url=http%3A%2F%2Fdare.uva.nl%2Fdocument%2F126587&amp;ei=2neeT8yUItCcOuqPrfsB&amp;usg=AFQjCNEZXgn8BQcyjieIJWtujNFv9XpUyw" TargetMode="External"/><Relationship Id="rId28" Type="http://schemas.openxmlformats.org/officeDocument/2006/relationships/hyperlink" Target="http://www.youtube.com/watch?v=MAhs-m6cNzY&amp;feature=related" TargetMode="External"/><Relationship Id="rId36" Type="http://schemas.openxmlformats.org/officeDocument/2006/relationships/hyperlink" Target="http://www.medicinfo.nl/%7B1218a219-84ee-4765-80d8-e9d228b53c9a%7D" TargetMode="External"/><Relationship Id="rId10" Type="http://schemas.openxmlformats.org/officeDocument/2006/relationships/hyperlink" Target="http://www.youtube.com/watch?v=85RVEas4AXs&amp;feature=channel" TargetMode="External"/><Relationship Id="rId19" Type="http://schemas.openxmlformats.org/officeDocument/2006/relationships/hyperlink" Target="http://www.youtube.com/watch?v=SDyACktIyso" TargetMode="External"/><Relationship Id="rId31" Type="http://schemas.openxmlformats.org/officeDocument/2006/relationships/hyperlink" Target="http://www.ted.com/talks/michael_shermer_the_pattern_behind_self_deception.html" TargetMode="External"/><Relationship Id="rId44" Type="http://schemas.openxmlformats.org/officeDocument/2006/relationships/hyperlink" Target="https://www.youtube.com/watch?v=lR-SgpO0W8c" TargetMode="External"/><Relationship Id="rId4" Type="http://schemas.openxmlformats.org/officeDocument/2006/relationships/hyperlink" Target="https://www.youtube.com/watch?v=3zCGtRC-7jc" TargetMode="External"/><Relationship Id="rId9" Type="http://schemas.openxmlformats.org/officeDocument/2006/relationships/hyperlink" Target="http://www.youtube.com/watch?v=sP7Q51zHp4I" TargetMode="External"/><Relationship Id="rId14" Type="http://schemas.openxmlformats.org/officeDocument/2006/relationships/hyperlink" Target="http://arbo.startpagina.nl/" TargetMode="External"/><Relationship Id="rId22" Type="http://schemas.openxmlformats.org/officeDocument/2006/relationships/hyperlink" Target="http://www.youtube.com/watch?v=1ybksrCEELU" TargetMode="External"/><Relationship Id="rId27" Type="http://schemas.openxmlformats.org/officeDocument/2006/relationships/hyperlink" Target="http://www.ted.com/talks/derek_sivers_how_to_start_a_movement.html" TargetMode="External"/><Relationship Id="rId30" Type="http://schemas.openxmlformats.org/officeDocument/2006/relationships/hyperlink" Target="http://www.youtube.com/watch?v=T0wDBo_-eBM" TargetMode="External"/><Relationship Id="rId35" Type="http://schemas.openxmlformats.org/officeDocument/2006/relationships/hyperlink" Target="http://www.rijksoverheid.nl/onderwerpen/wia" TargetMode="External"/><Relationship Id="rId43" Type="http://schemas.openxmlformats.org/officeDocument/2006/relationships/hyperlink" Target="https://www.youtube.com/watch?v=1qodbSi5hok" TargetMode="External"/><Relationship Id="rId48" Type="http://schemas.openxmlformats.org/officeDocument/2006/relationships/comments" Target="../comments2.xml"/></Relationships>
</file>

<file path=xl/worksheets/_rels/sheet6.xml.rels><?xml version="1.0" encoding="UTF-8" standalone="yes"?>
<Relationships xmlns="http://schemas.openxmlformats.org/package/2006/relationships"><Relationship Id="rId8" Type="http://schemas.openxmlformats.org/officeDocument/2006/relationships/hyperlink" Target="https://www.youtube.com/watch?v=NgkQYRqxKTs" TargetMode="External"/><Relationship Id="rId3" Type="http://schemas.openxmlformats.org/officeDocument/2006/relationships/hyperlink" Target="http://www.youtube.com/watch?v=rYaZ57Bn4pQ&amp;feature=fvw%60" TargetMode="External"/><Relationship Id="rId7" Type="http://schemas.openxmlformats.org/officeDocument/2006/relationships/hyperlink" Target="https://www.youtube.com/watch?v=QbS3samTsOA" TargetMode="External"/><Relationship Id="rId2" Type="http://schemas.openxmlformats.org/officeDocument/2006/relationships/hyperlink" Target="http://wjsn.home.xs4all.nl/tekst/kernkwaliteiten.htm" TargetMode="External"/><Relationship Id="rId1" Type="http://schemas.openxmlformats.org/officeDocument/2006/relationships/hyperlink" Target="http://www.ervaar.nl/jezelf/testshow.php?id=6" TargetMode="External"/><Relationship Id="rId6" Type="http://schemas.openxmlformats.org/officeDocument/2006/relationships/hyperlink" Target="https://www.youtube.com/watch?v=7Rts70S_X3A" TargetMode="External"/><Relationship Id="rId5" Type="http://schemas.openxmlformats.org/officeDocument/2006/relationships/hyperlink" Target="https://www.youtube.com/watch?v=euxi9McjNoE" TargetMode="External"/><Relationship Id="rId4" Type="http://schemas.openxmlformats.org/officeDocument/2006/relationships/hyperlink" Target="http://www.youtube.com/watch?v=_NRWtd_SiU8" TargetMode="External"/><Relationship Id="rId9"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3" Type="http://schemas.openxmlformats.org/officeDocument/2006/relationships/hyperlink" Target="http://decentrale.regelgeving.overheid.nl/cvdr/Images/Gewest%20Gooi%20en%20Vechtstreek/i45131.pdf" TargetMode="External"/><Relationship Id="rId2" Type="http://schemas.openxmlformats.org/officeDocument/2006/relationships/hyperlink" Target="http://www.fnvbondgenoten.nl/werk_en_inkomen/dossiers/cao/" TargetMode="External"/><Relationship Id="rId1" Type="http://schemas.openxmlformats.org/officeDocument/2006/relationships/hyperlink" Target="http://www.fnvbondgenoten.nl/werk_en_inkomen/dossiers/cao/" TargetMode="External"/><Relationship Id="rId6" Type="http://schemas.openxmlformats.org/officeDocument/2006/relationships/drawing" Target="../drawings/drawing6.xml"/><Relationship Id="rId5" Type="http://schemas.openxmlformats.org/officeDocument/2006/relationships/hyperlink" Target="http://www.personeelsnet.nl/bericht/dit-zijn-de-wijzigingen-voor-flexwerken-vanaf-2014/" TargetMode="External"/><Relationship Id="rId4" Type="http://schemas.openxmlformats.org/officeDocument/2006/relationships/hyperlink" Target="http://www.inspectieszw.n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7"/>
  <sheetViews>
    <sheetView tabSelected="1" topLeftCell="A7" zoomScale="130" zoomScaleNormal="130" zoomScalePageLayoutView="150" workbookViewId="0">
      <selection activeCell="B20" sqref="B20"/>
    </sheetView>
  </sheetViews>
  <sheetFormatPr defaultColWidth="8.85546875" defaultRowHeight="12.75" x14ac:dyDescent="0.2"/>
  <cols>
    <col min="1" max="1" width="4.7109375" customWidth="1"/>
    <col min="2" max="2" width="112.42578125" customWidth="1"/>
  </cols>
  <sheetData>
    <row r="1" spans="1:8" x14ac:dyDescent="0.2">
      <c r="A1" s="1"/>
      <c r="B1" s="1"/>
      <c r="C1" s="1"/>
      <c r="D1" s="1"/>
      <c r="E1" s="1"/>
      <c r="F1" s="1"/>
      <c r="G1" s="1"/>
      <c r="H1" s="1"/>
    </row>
    <row r="2" spans="1:8" x14ac:dyDescent="0.2">
      <c r="A2" s="1"/>
      <c r="B2" s="1"/>
      <c r="C2" s="1"/>
      <c r="D2" s="1"/>
      <c r="E2" s="1"/>
      <c r="F2" s="1"/>
      <c r="G2" s="1"/>
      <c r="H2" s="1"/>
    </row>
    <row r="3" spans="1:8" x14ac:dyDescent="0.2">
      <c r="A3" s="1"/>
      <c r="B3" s="482" t="s">
        <v>2645</v>
      </c>
      <c r="C3" s="1"/>
      <c r="D3" s="1"/>
      <c r="E3" s="1"/>
      <c r="F3" s="1"/>
      <c r="G3" s="1"/>
      <c r="H3" s="1"/>
    </row>
    <row r="4" spans="1:8" x14ac:dyDescent="0.2">
      <c r="A4" s="1"/>
      <c r="B4" s="1" t="s">
        <v>2019</v>
      </c>
      <c r="C4" s="1"/>
      <c r="D4" s="1"/>
      <c r="E4" s="1"/>
      <c r="F4" s="1"/>
      <c r="G4" s="1"/>
      <c r="H4" s="1"/>
    </row>
    <row r="5" spans="1:8" x14ac:dyDescent="0.2">
      <c r="A5" s="1"/>
      <c r="B5" s="1"/>
      <c r="C5" s="1"/>
      <c r="D5" s="1"/>
      <c r="E5" s="1"/>
      <c r="F5" s="1"/>
      <c r="G5" s="1"/>
      <c r="H5" s="1"/>
    </row>
    <row r="6" spans="1:8" x14ac:dyDescent="0.2">
      <c r="A6" s="1"/>
      <c r="B6" s="1" t="s">
        <v>1795</v>
      </c>
      <c r="C6" s="1"/>
      <c r="D6" s="1"/>
      <c r="E6" s="1"/>
      <c r="F6" s="1"/>
      <c r="G6" s="1"/>
      <c r="H6" s="1"/>
    </row>
    <row r="7" spans="1:8" x14ac:dyDescent="0.2">
      <c r="A7" s="1"/>
      <c r="B7" s="459" t="s">
        <v>2020</v>
      </c>
      <c r="C7" s="1"/>
      <c r="D7" s="1"/>
      <c r="E7" s="1"/>
      <c r="F7" s="1"/>
      <c r="G7" s="1"/>
      <c r="H7" s="1"/>
    </row>
    <row r="8" spans="1:8" x14ac:dyDescent="0.2">
      <c r="A8" s="1"/>
      <c r="B8" s="1" t="s">
        <v>1796</v>
      </c>
      <c r="C8" s="1"/>
      <c r="D8" s="1"/>
      <c r="E8" s="1"/>
      <c r="F8" s="1"/>
      <c r="G8" s="1"/>
      <c r="H8" s="1"/>
    </row>
    <row r="9" spans="1:8" x14ac:dyDescent="0.2">
      <c r="A9" s="1"/>
      <c r="B9" s="1" t="s">
        <v>1797</v>
      </c>
      <c r="C9" s="1"/>
      <c r="D9" s="1"/>
      <c r="E9" s="1"/>
      <c r="F9" s="1"/>
      <c r="G9" s="1"/>
      <c r="H9" s="1"/>
    </row>
    <row r="10" spans="1:8" x14ac:dyDescent="0.2">
      <c r="A10" s="1"/>
      <c r="B10" s="67" t="s">
        <v>2013</v>
      </c>
      <c r="C10" s="1"/>
      <c r="D10" s="1"/>
      <c r="E10" s="1"/>
      <c r="F10" s="1"/>
      <c r="G10" s="1"/>
      <c r="H10" s="1"/>
    </row>
    <row r="11" spans="1:8" x14ac:dyDescent="0.2">
      <c r="A11" s="1"/>
      <c r="B11" s="67" t="s">
        <v>2018</v>
      </c>
      <c r="C11" s="1"/>
      <c r="D11" s="1"/>
      <c r="E11" s="1"/>
      <c r="F11" s="1"/>
      <c r="G11" s="1"/>
      <c r="H11" s="1"/>
    </row>
    <row r="12" spans="1:8" x14ac:dyDescent="0.2">
      <c r="A12" s="1"/>
      <c r="B12" s="519" t="s">
        <v>2021</v>
      </c>
      <c r="C12" s="1"/>
      <c r="D12" s="1"/>
      <c r="E12" s="1"/>
      <c r="F12" s="1"/>
      <c r="G12" s="1"/>
      <c r="H12" s="1"/>
    </row>
    <row r="13" spans="1:8" x14ac:dyDescent="0.2">
      <c r="A13" s="1"/>
      <c r="B13" s="67"/>
      <c r="C13" s="1"/>
      <c r="D13" s="1"/>
      <c r="E13" s="1"/>
      <c r="F13" s="1"/>
      <c r="G13" s="1"/>
      <c r="H13" s="1"/>
    </row>
    <row r="14" spans="1:8" x14ac:dyDescent="0.2">
      <c r="A14" s="1"/>
      <c r="B14" s="545" t="s">
        <v>995</v>
      </c>
      <c r="C14" s="1"/>
      <c r="D14" s="1"/>
      <c r="E14" s="1"/>
      <c r="F14" s="1"/>
      <c r="G14" s="1"/>
      <c r="H14" s="1"/>
    </row>
    <row r="15" spans="1:8" x14ac:dyDescent="0.2">
      <c r="A15" s="1"/>
      <c r="B15" s="1" t="s">
        <v>1798</v>
      </c>
      <c r="C15" s="1"/>
      <c r="D15" s="1"/>
      <c r="E15" s="1"/>
      <c r="F15" s="1"/>
      <c r="G15" s="1"/>
      <c r="H15" s="1"/>
    </row>
    <row r="16" spans="1:8" x14ac:dyDescent="0.2">
      <c r="A16" s="1"/>
      <c r="B16" s="1"/>
      <c r="C16" s="1"/>
      <c r="D16" s="1"/>
      <c r="E16" s="1"/>
      <c r="F16" s="1"/>
      <c r="G16" s="1"/>
      <c r="H16" s="1"/>
    </row>
    <row r="17" spans="1:8" x14ac:dyDescent="0.2">
      <c r="A17" s="1"/>
      <c r="B17" s="1"/>
      <c r="C17" s="1"/>
      <c r="D17" s="1"/>
      <c r="E17" s="1"/>
      <c r="F17" s="1"/>
      <c r="G17" s="1"/>
      <c r="H17" s="1"/>
    </row>
    <row r="18" spans="1:8" x14ac:dyDescent="0.2">
      <c r="A18" s="1"/>
      <c r="B18" s="1" t="s">
        <v>1772</v>
      </c>
      <c r="C18" s="1"/>
      <c r="D18" s="1"/>
      <c r="E18" s="1"/>
      <c r="F18" s="1"/>
      <c r="G18" s="1"/>
      <c r="H18" s="1"/>
    </row>
    <row r="19" spans="1:8" x14ac:dyDescent="0.2">
      <c r="A19" s="1"/>
      <c r="B19" s="1"/>
      <c r="C19" s="1"/>
      <c r="D19" s="1"/>
      <c r="E19" s="1"/>
      <c r="F19" s="1"/>
      <c r="G19" s="1"/>
      <c r="H19" s="1"/>
    </row>
    <row r="20" spans="1:8" x14ac:dyDescent="0.2">
      <c r="A20" s="1"/>
      <c r="B20" s="543" t="s">
        <v>2609</v>
      </c>
      <c r="C20" s="1"/>
      <c r="D20" s="1"/>
      <c r="E20" s="1"/>
      <c r="F20" s="1"/>
      <c r="G20" s="1"/>
      <c r="H20" s="1"/>
    </row>
    <row r="21" spans="1:8" x14ac:dyDescent="0.2">
      <c r="A21" s="1"/>
      <c r="B21" s="67" t="s">
        <v>1890</v>
      </c>
      <c r="C21" s="1"/>
      <c r="D21" s="1"/>
      <c r="E21" s="1"/>
      <c r="F21" s="1"/>
      <c r="G21" s="1"/>
      <c r="H21" s="1"/>
    </row>
    <row r="22" spans="1:8" x14ac:dyDescent="0.2">
      <c r="A22" s="1"/>
      <c r="B22" s="1"/>
      <c r="C22" s="1"/>
      <c r="D22" s="1"/>
      <c r="E22" s="1"/>
      <c r="F22" s="1"/>
      <c r="G22" s="1"/>
      <c r="H22" s="1"/>
    </row>
    <row r="23" spans="1:8" x14ac:dyDescent="0.2">
      <c r="A23" s="1"/>
      <c r="B23" s="1"/>
      <c r="C23" s="1"/>
      <c r="D23" s="1"/>
      <c r="E23" s="1"/>
      <c r="F23" s="1"/>
      <c r="G23" s="1"/>
      <c r="H23" s="1"/>
    </row>
    <row r="24" spans="1:8" x14ac:dyDescent="0.2">
      <c r="A24" s="1"/>
      <c r="B24" s="1"/>
      <c r="C24" s="1"/>
      <c r="D24" s="1"/>
      <c r="E24" s="1"/>
      <c r="F24" s="1"/>
      <c r="G24" s="1"/>
      <c r="H24" s="1"/>
    </row>
    <row r="25" spans="1:8" x14ac:dyDescent="0.2">
      <c r="A25" s="1"/>
      <c r="B25" s="1"/>
      <c r="C25" s="1"/>
      <c r="D25" s="1"/>
      <c r="E25" s="1"/>
      <c r="F25" s="1"/>
      <c r="G25" s="1"/>
      <c r="H25" s="1"/>
    </row>
    <row r="26" spans="1:8" x14ac:dyDescent="0.2">
      <c r="A26" s="1"/>
      <c r="B26" s="1"/>
      <c r="C26" s="1"/>
      <c r="D26" s="1"/>
      <c r="E26" s="1"/>
      <c r="F26" s="1"/>
      <c r="G26" s="1"/>
      <c r="H26" s="1"/>
    </row>
    <row r="27" spans="1:8" x14ac:dyDescent="0.2">
      <c r="A27" s="1"/>
      <c r="B27" s="1"/>
      <c r="C27" s="1"/>
      <c r="D27" s="1"/>
      <c r="E27" s="1"/>
      <c r="F27" s="1"/>
      <c r="G27" s="1"/>
      <c r="H27" s="1"/>
    </row>
    <row r="28" spans="1:8" x14ac:dyDescent="0.2">
      <c r="A28" s="1"/>
      <c r="B28" s="1"/>
      <c r="C28" s="1"/>
      <c r="D28" s="1"/>
      <c r="E28" s="1"/>
      <c r="F28" s="1"/>
      <c r="G28" s="1"/>
      <c r="H28" s="1"/>
    </row>
    <row r="29" spans="1:8" x14ac:dyDescent="0.2">
      <c r="A29" s="1"/>
      <c r="B29" s="1"/>
      <c r="C29" s="1"/>
      <c r="D29" s="1"/>
      <c r="E29" s="1"/>
      <c r="F29" s="1"/>
      <c r="G29" s="1"/>
      <c r="H29" s="1"/>
    </row>
    <row r="30" spans="1:8" x14ac:dyDescent="0.2">
      <c r="A30" s="1"/>
      <c r="B30" s="1"/>
      <c r="C30" s="1"/>
      <c r="D30" s="1"/>
      <c r="E30" s="1"/>
      <c r="F30" s="1"/>
      <c r="G30" s="1"/>
      <c r="H30" s="1"/>
    </row>
    <row r="31" spans="1:8" x14ac:dyDescent="0.2">
      <c r="A31" s="1"/>
      <c r="B31" s="1"/>
      <c r="C31" s="1"/>
      <c r="D31" s="1"/>
      <c r="E31" s="1"/>
      <c r="F31" s="1"/>
      <c r="G31" s="1"/>
      <c r="H31" s="1"/>
    </row>
    <row r="32" spans="1:8" x14ac:dyDescent="0.2">
      <c r="A32" s="1"/>
      <c r="B32" s="1"/>
      <c r="C32" s="1"/>
      <c r="D32" s="1"/>
      <c r="E32" s="1"/>
      <c r="F32" s="1"/>
      <c r="G32" s="1"/>
      <c r="H32" s="1"/>
    </row>
    <row r="33" spans="1:8" x14ac:dyDescent="0.2">
      <c r="A33" s="1"/>
      <c r="B33" s="1"/>
      <c r="C33" s="1"/>
      <c r="D33" s="1"/>
      <c r="E33" s="1"/>
      <c r="F33" s="1"/>
      <c r="G33" s="1"/>
      <c r="H33" s="1"/>
    </row>
    <row r="34" spans="1:8" x14ac:dyDescent="0.2">
      <c r="A34" s="1"/>
      <c r="B34" s="1"/>
      <c r="C34" s="1"/>
      <c r="D34" s="1"/>
      <c r="E34" s="1"/>
      <c r="F34" s="1"/>
      <c r="G34" s="1"/>
      <c r="H34" s="1"/>
    </row>
    <row r="35" spans="1:8" x14ac:dyDescent="0.2">
      <c r="A35" s="1"/>
      <c r="B35" s="1"/>
      <c r="C35" s="1"/>
      <c r="D35" s="1"/>
      <c r="E35" s="1"/>
      <c r="F35" s="1"/>
      <c r="G35" s="1"/>
      <c r="H35" s="1"/>
    </row>
    <row r="36" spans="1:8" x14ac:dyDescent="0.2">
      <c r="A36" s="1"/>
      <c r="B36" s="1"/>
      <c r="C36" s="1"/>
      <c r="D36" s="1"/>
      <c r="E36" s="1"/>
      <c r="F36" s="1"/>
      <c r="G36" s="1"/>
      <c r="H36" s="1"/>
    </row>
    <row r="37" spans="1:8" x14ac:dyDescent="0.2">
      <c r="A37" s="1"/>
      <c r="B37" s="1"/>
      <c r="C37" s="1"/>
      <c r="D37" s="1"/>
      <c r="E37" s="1"/>
      <c r="F37" s="1"/>
      <c r="G37" s="1"/>
      <c r="H37" s="1"/>
    </row>
    <row r="38" spans="1:8" x14ac:dyDescent="0.2">
      <c r="A38" s="1"/>
      <c r="B38" s="1"/>
      <c r="C38" s="1"/>
      <c r="D38" s="1"/>
      <c r="E38" s="1"/>
      <c r="F38" s="1"/>
      <c r="G38" s="1"/>
      <c r="H38" s="1"/>
    </row>
    <row r="39" spans="1:8" x14ac:dyDescent="0.2">
      <c r="A39" s="1"/>
      <c r="B39" s="1"/>
      <c r="C39" s="1"/>
      <c r="D39" s="1"/>
      <c r="E39" s="1"/>
      <c r="F39" s="1"/>
      <c r="G39" s="1"/>
      <c r="H39" s="1"/>
    </row>
    <row r="40" spans="1:8" x14ac:dyDescent="0.2">
      <c r="A40" s="1"/>
      <c r="B40" s="1"/>
      <c r="C40" s="1"/>
      <c r="D40" s="1"/>
      <c r="E40" s="1"/>
      <c r="F40" s="1"/>
      <c r="G40" s="1"/>
      <c r="H40" s="1"/>
    </row>
    <row r="41" spans="1:8" x14ac:dyDescent="0.2">
      <c r="A41" s="1"/>
      <c r="B41" s="1"/>
      <c r="C41" s="1"/>
      <c r="D41" s="1"/>
      <c r="E41" s="1"/>
      <c r="F41" s="1"/>
      <c r="G41" s="1"/>
      <c r="H41" s="1"/>
    </row>
    <row r="42" spans="1:8" x14ac:dyDescent="0.2">
      <c r="A42" s="1"/>
      <c r="B42" s="1"/>
      <c r="C42" s="1"/>
      <c r="D42" s="1"/>
      <c r="E42" s="1"/>
      <c r="F42" s="1"/>
      <c r="G42" s="1"/>
      <c r="H42" s="1"/>
    </row>
    <row r="43" spans="1:8" x14ac:dyDescent="0.2">
      <c r="A43" s="1"/>
      <c r="B43" s="1"/>
      <c r="C43" s="1"/>
      <c r="D43" s="1"/>
      <c r="E43" s="1"/>
      <c r="F43" s="1"/>
      <c r="G43" s="1"/>
      <c r="H43" s="1"/>
    </row>
    <row r="44" spans="1:8" x14ac:dyDescent="0.2">
      <c r="A44" s="1"/>
      <c r="B44" s="1"/>
      <c r="C44" s="1"/>
      <c r="D44" s="1"/>
      <c r="E44" s="1"/>
      <c r="F44" s="1"/>
      <c r="G44" s="1"/>
      <c r="H44" s="1"/>
    </row>
    <row r="45" spans="1:8" x14ac:dyDescent="0.2">
      <c r="A45" s="1"/>
      <c r="B45" s="1"/>
      <c r="C45" s="1"/>
      <c r="D45" s="1"/>
      <c r="E45" s="1"/>
      <c r="F45" s="1"/>
      <c r="G45" s="1"/>
      <c r="H45" s="1"/>
    </row>
    <row r="46" spans="1:8" x14ac:dyDescent="0.2">
      <c r="A46" s="1"/>
      <c r="B46" s="1"/>
      <c r="C46" s="1"/>
      <c r="D46" s="1"/>
      <c r="E46" s="1"/>
      <c r="F46" s="1"/>
      <c r="G46" s="1"/>
      <c r="H46" s="1"/>
    </row>
    <row r="47" spans="1:8" x14ac:dyDescent="0.2">
      <c r="A47" s="1"/>
      <c r="B47" s="1"/>
      <c r="C47" s="1"/>
      <c r="D47" s="1"/>
      <c r="E47" s="1"/>
      <c r="F47" s="1"/>
      <c r="G47" s="1"/>
      <c r="H47" s="1"/>
    </row>
    <row r="48" spans="1:8" x14ac:dyDescent="0.2">
      <c r="A48" s="1"/>
      <c r="B48" s="1"/>
      <c r="C48" s="1"/>
      <c r="D48" s="1"/>
      <c r="E48" s="1"/>
      <c r="F48" s="1"/>
      <c r="G48" s="1"/>
      <c r="H48" s="1"/>
    </row>
    <row r="49" spans="1:8" x14ac:dyDescent="0.2">
      <c r="A49" s="1"/>
      <c r="B49" s="1"/>
      <c r="C49" s="1"/>
      <c r="D49" s="1"/>
      <c r="E49" s="1"/>
      <c r="F49" s="1"/>
      <c r="G49" s="1"/>
      <c r="H49" s="1"/>
    </row>
    <row r="50" spans="1:8" x14ac:dyDescent="0.2">
      <c r="A50" s="1"/>
      <c r="B50" s="1"/>
      <c r="C50" s="1"/>
      <c r="D50" s="1"/>
      <c r="E50" s="1"/>
      <c r="F50" s="1"/>
      <c r="G50" s="1"/>
      <c r="H50" s="1"/>
    </row>
    <row r="51" spans="1:8" x14ac:dyDescent="0.2">
      <c r="A51" s="1"/>
      <c r="B51" s="1"/>
      <c r="C51" s="1"/>
      <c r="D51" s="1"/>
      <c r="E51" s="1"/>
      <c r="F51" s="1"/>
      <c r="G51" s="1"/>
      <c r="H51" s="1"/>
    </row>
    <row r="52" spans="1:8" x14ac:dyDescent="0.2">
      <c r="A52" s="1"/>
      <c r="B52" s="1"/>
      <c r="C52" s="1"/>
      <c r="D52" s="1"/>
      <c r="E52" s="1"/>
      <c r="F52" s="1"/>
      <c r="G52" s="1"/>
      <c r="H52" s="1"/>
    </row>
    <row r="53" spans="1:8" x14ac:dyDescent="0.2">
      <c r="A53" s="1"/>
      <c r="B53" s="1"/>
      <c r="C53" s="1"/>
      <c r="D53" s="1"/>
      <c r="E53" s="1"/>
      <c r="F53" s="1"/>
      <c r="G53" s="1"/>
      <c r="H53" s="1"/>
    </row>
    <row r="54" spans="1:8" x14ac:dyDescent="0.2">
      <c r="A54" s="1"/>
      <c r="B54" s="1"/>
      <c r="C54" s="1"/>
      <c r="D54" s="1"/>
      <c r="E54" s="1"/>
      <c r="F54" s="1"/>
      <c r="G54" s="1"/>
      <c r="H54" s="1"/>
    </row>
    <row r="55" spans="1:8" x14ac:dyDescent="0.2">
      <c r="A55" s="1"/>
      <c r="B55" s="1"/>
      <c r="C55" s="1"/>
      <c r="D55" s="1"/>
      <c r="E55" s="1"/>
      <c r="F55" s="1"/>
      <c r="G55" s="1"/>
      <c r="H55" s="1"/>
    </row>
    <row r="56" spans="1:8" x14ac:dyDescent="0.2">
      <c r="A56" s="1"/>
      <c r="B56" s="1"/>
      <c r="C56" s="1"/>
      <c r="D56" s="1"/>
      <c r="E56" s="1"/>
      <c r="F56" s="1"/>
      <c r="G56" s="1"/>
      <c r="H56" s="1"/>
    </row>
    <row r="57" spans="1:8" x14ac:dyDescent="0.2">
      <c r="A57" s="1"/>
      <c r="B57" s="1"/>
      <c r="C57" s="1"/>
      <c r="D57" s="1"/>
      <c r="E57" s="1"/>
      <c r="F57" s="1"/>
      <c r="G57" s="1"/>
      <c r="H57" s="1"/>
    </row>
    <row r="58" spans="1:8" x14ac:dyDescent="0.2">
      <c r="A58" s="1"/>
      <c r="B58" s="1"/>
      <c r="C58" s="1"/>
      <c r="D58" s="1"/>
      <c r="E58" s="1"/>
      <c r="F58" s="1"/>
      <c r="G58" s="1"/>
      <c r="H58" s="1"/>
    </row>
    <row r="59" spans="1:8" x14ac:dyDescent="0.2">
      <c r="A59" s="1"/>
      <c r="B59" s="1"/>
      <c r="C59" s="1"/>
      <c r="D59" s="1"/>
      <c r="E59" s="1"/>
      <c r="F59" s="1"/>
      <c r="G59" s="1"/>
      <c r="H59" s="1"/>
    </row>
    <row r="60" spans="1:8" x14ac:dyDescent="0.2">
      <c r="A60" s="1"/>
      <c r="B60" s="1"/>
      <c r="C60" s="1"/>
      <c r="D60" s="1"/>
      <c r="E60" s="1"/>
      <c r="F60" s="1"/>
      <c r="G60" s="1"/>
      <c r="H60" s="1"/>
    </row>
    <row r="61" spans="1:8" x14ac:dyDescent="0.2">
      <c r="A61" s="1"/>
      <c r="B61" s="1"/>
      <c r="C61" s="1"/>
      <c r="D61" s="1"/>
      <c r="E61" s="1"/>
      <c r="F61" s="1"/>
      <c r="G61" s="1"/>
      <c r="H61" s="1"/>
    </row>
    <row r="62" spans="1:8" x14ac:dyDescent="0.2">
      <c r="A62" s="1"/>
      <c r="B62" s="1"/>
      <c r="C62" s="1"/>
      <c r="D62" s="1"/>
      <c r="E62" s="1"/>
      <c r="F62" s="1"/>
      <c r="G62" s="1"/>
      <c r="H62" s="1"/>
    </row>
    <row r="63" spans="1:8" x14ac:dyDescent="0.2">
      <c r="A63" s="1"/>
      <c r="B63" s="1"/>
      <c r="C63" s="1"/>
      <c r="D63" s="1"/>
      <c r="E63" s="1"/>
      <c r="F63" s="1"/>
      <c r="G63" s="1"/>
      <c r="H63" s="1"/>
    </row>
    <row r="64" spans="1:8" x14ac:dyDescent="0.2">
      <c r="A64" s="1"/>
      <c r="B64" s="1"/>
      <c r="C64" s="1"/>
      <c r="D64" s="1"/>
      <c r="E64" s="1"/>
      <c r="F64" s="1"/>
      <c r="G64" s="1"/>
      <c r="H64" s="1"/>
    </row>
    <row r="65" spans="1:8" x14ac:dyDescent="0.2">
      <c r="A65" s="1"/>
      <c r="B65" s="1"/>
      <c r="C65" s="1"/>
      <c r="D65" s="1"/>
      <c r="E65" s="1"/>
      <c r="F65" s="1"/>
      <c r="G65" s="1"/>
      <c r="H65" s="1"/>
    </row>
    <row r="66" spans="1:8" x14ac:dyDescent="0.2">
      <c r="A66" s="1"/>
      <c r="B66" s="1"/>
      <c r="C66" s="1"/>
      <c r="D66" s="1"/>
      <c r="E66" s="1"/>
      <c r="F66" s="1"/>
      <c r="G66" s="1"/>
      <c r="H66" s="1"/>
    </row>
    <row r="67" spans="1:8" x14ac:dyDescent="0.2">
      <c r="A67" s="1"/>
      <c r="B67" s="1"/>
      <c r="C67" s="1"/>
      <c r="D67" s="1"/>
      <c r="E67" s="1"/>
      <c r="F67" s="1"/>
      <c r="G67" s="1"/>
      <c r="H67" s="1"/>
    </row>
    <row r="68" spans="1:8" x14ac:dyDescent="0.2">
      <c r="A68" s="1"/>
      <c r="B68" s="1"/>
      <c r="C68" s="1"/>
      <c r="D68" s="1"/>
      <c r="E68" s="1"/>
      <c r="F68" s="1"/>
      <c r="G68" s="1"/>
      <c r="H68" s="1"/>
    </row>
    <row r="69" spans="1:8" x14ac:dyDescent="0.2">
      <c r="A69" s="1"/>
      <c r="B69" s="1"/>
      <c r="C69" s="1"/>
      <c r="D69" s="1"/>
      <c r="E69" s="1"/>
      <c r="F69" s="1"/>
      <c r="G69" s="1"/>
      <c r="H69" s="1"/>
    </row>
    <row r="70" spans="1:8" x14ac:dyDescent="0.2">
      <c r="A70" s="1"/>
      <c r="B70" s="1"/>
      <c r="C70" s="1"/>
      <c r="D70" s="1"/>
      <c r="E70" s="1"/>
      <c r="F70" s="1"/>
      <c r="G70" s="1"/>
      <c r="H70" s="1"/>
    </row>
    <row r="71" spans="1:8" x14ac:dyDescent="0.2">
      <c r="A71" s="1"/>
      <c r="B71" s="1"/>
      <c r="C71" s="1"/>
      <c r="D71" s="1"/>
      <c r="E71" s="1"/>
      <c r="F71" s="1"/>
      <c r="G71" s="1"/>
      <c r="H71" s="1"/>
    </row>
    <row r="72" spans="1:8" x14ac:dyDescent="0.2">
      <c r="A72" s="1"/>
      <c r="B72" s="1"/>
      <c r="C72" s="1"/>
      <c r="D72" s="1"/>
      <c r="E72" s="1"/>
      <c r="F72" s="1"/>
      <c r="G72" s="1"/>
      <c r="H72" s="1"/>
    </row>
    <row r="73" spans="1:8" x14ac:dyDescent="0.2">
      <c r="A73" s="1"/>
      <c r="B73" s="1"/>
      <c r="C73" s="1"/>
      <c r="D73" s="1"/>
      <c r="E73" s="1"/>
      <c r="F73" s="1"/>
      <c r="G73" s="1"/>
      <c r="H73" s="1"/>
    </row>
    <row r="74" spans="1:8" x14ac:dyDescent="0.2">
      <c r="A74" s="1"/>
      <c r="B74" s="1"/>
      <c r="C74" s="1"/>
      <c r="D74" s="1"/>
      <c r="E74" s="1"/>
      <c r="F74" s="1"/>
      <c r="G74" s="1"/>
      <c r="H74" s="1"/>
    </row>
    <row r="75" spans="1:8" x14ac:dyDescent="0.2">
      <c r="A75" s="1"/>
      <c r="B75" s="1"/>
      <c r="C75" s="1"/>
      <c r="D75" s="1"/>
      <c r="E75" s="1"/>
      <c r="F75" s="1"/>
      <c r="G75" s="1"/>
      <c r="H75" s="1"/>
    </row>
    <row r="76" spans="1:8" x14ac:dyDescent="0.2">
      <c r="A76" s="1"/>
      <c r="B76" s="1"/>
      <c r="C76" s="1"/>
      <c r="D76" s="1"/>
      <c r="E76" s="1"/>
      <c r="F76" s="1"/>
      <c r="G76" s="1"/>
      <c r="H76" s="1"/>
    </row>
    <row r="77" spans="1:8" x14ac:dyDescent="0.2">
      <c r="A77" s="1"/>
      <c r="B77" s="1"/>
      <c r="C77" s="1"/>
      <c r="D77" s="1"/>
      <c r="E77" s="1"/>
      <c r="F77" s="1"/>
      <c r="G77" s="1"/>
      <c r="H77" s="1"/>
    </row>
  </sheetData>
  <sheetProtection password="DFAF" sheet="1" objects="1" scenarios="1"/>
  <phoneticPr fontId="2" type="noConversion"/>
  <hyperlinks>
    <hyperlink ref="B3" r:id="rId1" display="Hartelijk dank voor de aanschaf van het leerboek &quot;HRM voor de lijnmanager&quot; van uitgeverij BoomLemma, auteur E. van Soest."/>
  </hyperlinks>
  <pageMargins left="0.75" right="0.75" top="1" bottom="1" header="0.5" footer="0.5"/>
  <pageSetup paperSize="9" orientation="portrait" horizontalDpi="0" verticalDpi="0" r:id="rId2"/>
  <headerFooter alignWithMargins="0"/>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74"/>
  <sheetViews>
    <sheetView showZeros="0" zoomScaleNormal="100" zoomScalePageLayoutView="150" workbookViewId="0"/>
  </sheetViews>
  <sheetFormatPr defaultColWidth="8.85546875" defaultRowHeight="12.75" x14ac:dyDescent="0.2"/>
  <cols>
    <col min="1" max="1" width="3.85546875" customWidth="1"/>
    <col min="2" max="2" width="59.140625" customWidth="1"/>
    <col min="3" max="6" width="15.7109375" customWidth="1"/>
    <col min="7" max="8" width="17.140625" customWidth="1"/>
    <col min="9" max="9" width="1.7109375" hidden="1" customWidth="1"/>
    <col min="10" max="10" width="10.7109375" hidden="1" customWidth="1"/>
    <col min="11" max="11" width="8.85546875" hidden="1" customWidth="1"/>
    <col min="12" max="13" width="13.85546875" style="91" hidden="1" customWidth="1"/>
    <col min="14" max="14" width="3.140625" customWidth="1"/>
  </cols>
  <sheetData>
    <row r="1" spans="1:14" x14ac:dyDescent="0.2">
      <c r="A1" s="1"/>
      <c r="B1" s="105" t="s">
        <v>2610</v>
      </c>
      <c r="C1" s="112" t="s">
        <v>785</v>
      </c>
      <c r="D1" s="1"/>
      <c r="E1" s="1"/>
      <c r="F1" s="1"/>
      <c r="G1" s="1"/>
      <c r="H1" s="1"/>
      <c r="I1" s="1"/>
      <c r="J1" s="1"/>
      <c r="K1" s="1"/>
      <c r="L1" s="3"/>
      <c r="M1" s="3"/>
      <c r="N1" s="1"/>
    </row>
    <row r="2" spans="1:14" x14ac:dyDescent="0.2">
      <c r="A2" s="14"/>
      <c r="B2" s="14"/>
      <c r="C2" s="14"/>
      <c r="D2" s="14"/>
      <c r="E2" s="14"/>
      <c r="F2" s="14"/>
      <c r="G2" s="14"/>
      <c r="H2" s="14"/>
      <c r="I2" s="14"/>
      <c r="J2" s="1"/>
      <c r="K2" s="1"/>
      <c r="L2" s="3"/>
      <c r="M2" s="3"/>
      <c r="N2" s="1"/>
    </row>
    <row r="3" spans="1:14" x14ac:dyDescent="0.2">
      <c r="A3" s="1"/>
      <c r="B3" s="1"/>
      <c r="C3" s="1"/>
      <c r="D3" s="1"/>
      <c r="E3" s="1"/>
      <c r="F3" s="1"/>
      <c r="G3" s="1"/>
      <c r="H3" s="1"/>
      <c r="I3" s="1"/>
      <c r="J3" s="1"/>
      <c r="K3" s="1"/>
      <c r="L3" s="3"/>
      <c r="M3" s="3"/>
      <c r="N3" s="1"/>
    </row>
    <row r="4" spans="1:14" x14ac:dyDescent="0.2">
      <c r="A4" s="1" t="s">
        <v>998</v>
      </c>
      <c r="B4" s="1" t="s">
        <v>996</v>
      </c>
      <c r="C4" s="1"/>
      <c r="D4" s="3"/>
      <c r="E4" s="3"/>
      <c r="F4" s="5" t="s">
        <v>992</v>
      </c>
      <c r="G4" s="3"/>
      <c r="H4" s="3"/>
      <c r="I4" s="1"/>
      <c r="J4" s="1"/>
      <c r="K4" s="1"/>
      <c r="L4" s="3"/>
      <c r="M4" s="3"/>
      <c r="N4" s="1"/>
    </row>
    <row r="5" spans="1:14" x14ac:dyDescent="0.2">
      <c r="A5" s="1"/>
      <c r="B5" s="339" t="s">
        <v>2611</v>
      </c>
      <c r="C5" s="1"/>
      <c r="D5" s="3"/>
      <c r="E5" s="3"/>
      <c r="F5" s="3"/>
      <c r="G5" s="3"/>
      <c r="H5" s="3"/>
      <c r="I5" s="1"/>
      <c r="J5" s="1"/>
      <c r="K5" s="1"/>
      <c r="L5" s="3"/>
      <c r="M5" s="3"/>
      <c r="N5" s="1"/>
    </row>
    <row r="6" spans="1:14" x14ac:dyDescent="0.2">
      <c r="A6" s="1"/>
      <c r="B6" s="1"/>
      <c r="C6" s="1"/>
      <c r="D6" s="3"/>
      <c r="E6" s="3"/>
      <c r="F6" s="3"/>
      <c r="G6" s="3"/>
      <c r="H6" s="3"/>
      <c r="I6" s="1"/>
      <c r="J6" s="1"/>
      <c r="K6" s="1"/>
      <c r="L6" s="3"/>
      <c r="M6" s="3"/>
      <c r="N6" s="1"/>
    </row>
    <row r="7" spans="1:14" ht="25.5" x14ac:dyDescent="0.2">
      <c r="A7" s="1"/>
      <c r="B7" s="80" t="s">
        <v>285</v>
      </c>
      <c r="C7" s="2"/>
      <c r="D7" s="3"/>
      <c r="E7" s="3"/>
      <c r="F7" s="9" t="s">
        <v>994</v>
      </c>
      <c r="G7" s="3"/>
      <c r="H7" s="3"/>
      <c r="I7" s="1"/>
      <c r="J7" s="1"/>
      <c r="K7" s="1"/>
      <c r="L7" s="3"/>
      <c r="M7" s="3"/>
      <c r="N7" s="1"/>
    </row>
    <row r="8" spans="1:14" x14ac:dyDescent="0.2">
      <c r="A8" s="1"/>
      <c r="B8" s="81" t="s">
        <v>895</v>
      </c>
      <c r="C8" s="1"/>
      <c r="D8" s="3"/>
      <c r="E8" s="3"/>
      <c r="F8" s="3" t="s">
        <v>995</v>
      </c>
      <c r="G8" s="3"/>
      <c r="H8" s="3"/>
      <c r="I8" s="1"/>
      <c r="J8" s="1"/>
      <c r="K8" s="1"/>
      <c r="L8" s="3"/>
      <c r="M8" s="3"/>
      <c r="N8" s="1"/>
    </row>
    <row r="9" spans="1:14" x14ac:dyDescent="0.2">
      <c r="A9" s="1"/>
      <c r="B9" s="1"/>
      <c r="C9" s="1"/>
      <c r="D9" s="3"/>
      <c r="E9" s="3"/>
      <c r="F9" s="3"/>
      <c r="G9" s="3"/>
      <c r="H9" s="3"/>
      <c r="I9" s="1"/>
      <c r="J9" s="1"/>
      <c r="K9" s="1"/>
      <c r="L9" s="3"/>
      <c r="M9" s="3"/>
      <c r="N9" s="1"/>
    </row>
    <row r="10" spans="1:14" x14ac:dyDescent="0.2">
      <c r="A10" s="1"/>
      <c r="B10" s="1"/>
      <c r="C10" s="1"/>
      <c r="D10" s="3"/>
      <c r="E10" s="3"/>
      <c r="F10" s="3"/>
      <c r="G10" s="3"/>
      <c r="H10" s="3"/>
      <c r="I10" s="1"/>
      <c r="J10" s="1"/>
      <c r="K10" s="1"/>
      <c r="L10" s="3"/>
      <c r="M10" s="3"/>
      <c r="N10" s="1"/>
    </row>
    <row r="11" spans="1:14" ht="25.5" x14ac:dyDescent="0.2">
      <c r="A11" s="1"/>
      <c r="B11" s="1" t="s">
        <v>997</v>
      </c>
      <c r="C11" s="1"/>
      <c r="D11" s="4" t="s">
        <v>993</v>
      </c>
      <c r="E11" s="3"/>
      <c r="F11" s="3"/>
      <c r="G11" s="3"/>
      <c r="H11" s="4" t="s">
        <v>1532</v>
      </c>
      <c r="I11" s="1"/>
      <c r="J11" s="1"/>
      <c r="K11" s="1"/>
      <c r="L11" s="3"/>
      <c r="M11" s="3"/>
      <c r="N11" s="1"/>
    </row>
    <row r="12" spans="1:14" x14ac:dyDescent="0.2">
      <c r="A12" s="1"/>
      <c r="B12" s="19" t="str">
        <f>IF(K15=1,"JUIST","")</f>
        <v/>
      </c>
      <c r="C12" s="1"/>
      <c r="D12" s="1"/>
      <c r="E12" s="1"/>
      <c r="F12" s="1"/>
      <c r="G12" s="1"/>
      <c r="H12" s="1"/>
      <c r="I12" s="1"/>
      <c r="J12" s="1"/>
      <c r="K12" s="1"/>
      <c r="L12" s="3"/>
      <c r="M12" s="3"/>
      <c r="N12" s="1"/>
    </row>
    <row r="13" spans="1:14" x14ac:dyDescent="0.2">
      <c r="A13" s="1"/>
      <c r="B13" s="1"/>
      <c r="C13" s="1"/>
      <c r="D13" s="1"/>
      <c r="E13" s="1"/>
      <c r="F13" s="1"/>
      <c r="G13" s="1"/>
      <c r="H13" s="1"/>
      <c r="I13" s="1"/>
      <c r="J13" s="1"/>
      <c r="K13" s="1"/>
      <c r="L13" s="3"/>
      <c r="M13" s="3"/>
      <c r="N13" s="1"/>
    </row>
    <row r="14" spans="1:14" x14ac:dyDescent="0.2">
      <c r="A14" s="1"/>
      <c r="B14" s="1"/>
      <c r="C14" s="1"/>
      <c r="D14" s="1"/>
      <c r="E14" s="1"/>
      <c r="F14" s="1"/>
      <c r="G14" s="1"/>
      <c r="H14" s="1"/>
      <c r="I14" s="1"/>
      <c r="J14" s="1"/>
      <c r="K14" s="1"/>
      <c r="L14" s="3"/>
      <c r="M14" s="3"/>
      <c r="N14" s="1"/>
    </row>
    <row r="15" spans="1:14" ht="27" customHeight="1" thickBot="1" x14ac:dyDescent="0.35">
      <c r="A15" s="1"/>
      <c r="C15" s="8" t="s">
        <v>995</v>
      </c>
      <c r="D15" s="1"/>
      <c r="E15" s="1"/>
      <c r="F15" s="1"/>
      <c r="G15" s="1"/>
      <c r="H15" s="93" t="s">
        <v>995</v>
      </c>
      <c r="I15" s="1"/>
      <c r="J15" s="51" t="str">
        <f>IF(H15="arbeidsrechtelijke gevolgen","JUIST","FOUT")</f>
        <v>FOUT</v>
      </c>
      <c r="K15" s="5">
        <f>ABS(IF(J15="JUIST","1","0"))</f>
        <v>0</v>
      </c>
      <c r="L15" s="3">
        <v>1</v>
      </c>
      <c r="M15" s="3"/>
      <c r="N15" s="1"/>
    </row>
    <row r="16" spans="1:14" ht="13.35" customHeight="1" thickTop="1" thickBot="1" x14ac:dyDescent="0.25">
      <c r="A16" s="1"/>
      <c r="B16" s="83" t="s">
        <v>1033</v>
      </c>
      <c r="C16" s="318" t="s">
        <v>995</v>
      </c>
      <c r="D16" s="1"/>
      <c r="E16" s="1"/>
      <c r="F16" s="1"/>
      <c r="G16" s="1"/>
      <c r="H16" s="20"/>
      <c r="I16" s="1"/>
      <c r="J16" s="53" t="str">
        <f>IF(C16="x","=k19","")</f>
        <v/>
      </c>
      <c r="K16" s="1"/>
      <c r="L16" s="3"/>
      <c r="M16" s="3"/>
      <c r="N16" s="1"/>
    </row>
    <row r="17" spans="1:14" ht="13.35" customHeight="1" thickTop="1" x14ac:dyDescent="0.3">
      <c r="A17" s="1"/>
      <c r="B17" s="52" t="str">
        <f>J17</f>
        <v/>
      </c>
      <c r="C17" s="8"/>
      <c r="D17" s="1"/>
      <c r="E17" s="1"/>
      <c r="F17" s="1"/>
      <c r="G17" s="1"/>
      <c r="H17" s="20"/>
      <c r="I17" s="1"/>
      <c r="J17" s="419" t="str">
        <f>IF(C16="x","Het juiste antwoord is: arbeidsrechtelijke gevolgen","")</f>
        <v/>
      </c>
      <c r="K17" s="1"/>
      <c r="L17" s="3"/>
      <c r="M17" s="3"/>
      <c r="N17" s="1"/>
    </row>
    <row r="18" spans="1:14" x14ac:dyDescent="0.2">
      <c r="A18" s="14"/>
      <c r="B18" s="14"/>
      <c r="C18" s="14"/>
      <c r="D18" s="14"/>
      <c r="E18" s="14"/>
      <c r="F18" s="14"/>
      <c r="G18" s="14"/>
      <c r="H18" s="14"/>
      <c r="I18" s="14"/>
      <c r="J18" s="1"/>
      <c r="K18" s="1"/>
      <c r="L18" s="3"/>
      <c r="M18" s="3"/>
      <c r="N18" s="1"/>
    </row>
    <row r="19" spans="1:14" x14ac:dyDescent="0.2">
      <c r="A19" s="1"/>
      <c r="B19" s="1"/>
      <c r="C19" s="1"/>
      <c r="D19" s="1"/>
      <c r="E19" s="1"/>
      <c r="F19" s="1"/>
      <c r="G19" s="1"/>
      <c r="H19" s="1"/>
      <c r="I19" s="1"/>
      <c r="J19" s="1"/>
      <c r="K19" s="1" t="s">
        <v>995</v>
      </c>
      <c r="L19" s="3"/>
      <c r="M19" s="3"/>
      <c r="N19" s="1"/>
    </row>
    <row r="20" spans="1:14" ht="54" customHeight="1" x14ac:dyDescent="0.2">
      <c r="A20" s="25" t="s">
        <v>1006</v>
      </c>
      <c r="B20" s="523" t="s">
        <v>2022</v>
      </c>
      <c r="C20" s="1"/>
      <c r="D20" s="1"/>
      <c r="E20" s="1"/>
      <c r="F20" s="1"/>
      <c r="G20" s="1"/>
      <c r="H20" s="1"/>
      <c r="I20" s="1"/>
      <c r="J20" s="1"/>
      <c r="K20" s="1"/>
      <c r="L20" s="3"/>
      <c r="M20" s="3"/>
      <c r="N20" s="1"/>
    </row>
    <row r="21" spans="1:14" ht="13.5" thickBot="1" x14ac:dyDescent="0.25">
      <c r="A21" s="1"/>
      <c r="B21" s="1"/>
      <c r="C21" s="12" t="s">
        <v>1007</v>
      </c>
      <c r="D21" s="13" t="s">
        <v>1008</v>
      </c>
      <c r="E21" s="222" t="s">
        <v>995</v>
      </c>
      <c r="F21" s="1"/>
      <c r="G21" s="1"/>
      <c r="H21" s="1"/>
      <c r="I21" s="1"/>
      <c r="J21" s="1"/>
      <c r="K21" s="1"/>
      <c r="L21" s="3"/>
      <c r="M21" s="3"/>
      <c r="N21" s="1"/>
    </row>
    <row r="22" spans="1:14" ht="13.5" thickTop="1" x14ac:dyDescent="0.2">
      <c r="A22" s="6" t="s">
        <v>999</v>
      </c>
      <c r="B22" s="6" t="s">
        <v>1003</v>
      </c>
      <c r="C22" s="517" t="s">
        <v>995</v>
      </c>
      <c r="D22" s="518" t="s">
        <v>995</v>
      </c>
      <c r="E22" s="222" t="s">
        <v>995</v>
      </c>
      <c r="F22" s="1"/>
      <c r="G22" s="1"/>
      <c r="H22" s="1"/>
      <c r="I22" s="1"/>
      <c r="J22" s="5" t="str">
        <f>IF(C22="x","JUIST","FOUT")</f>
        <v>FOUT</v>
      </c>
      <c r="K22" s="5">
        <f>ABS(IF(J22="JUIST","1","0"))</f>
        <v>0</v>
      </c>
      <c r="L22" s="3">
        <v>1</v>
      </c>
      <c r="M22" s="3"/>
      <c r="N22" s="1"/>
    </row>
    <row r="23" spans="1:14" x14ac:dyDescent="0.2">
      <c r="A23" s="6" t="s">
        <v>1000</v>
      </c>
      <c r="B23" s="235" t="s">
        <v>1004</v>
      </c>
      <c r="C23" s="10" t="s">
        <v>995</v>
      </c>
      <c r="D23" s="11">
        <v>0</v>
      </c>
      <c r="E23" s="222" t="s">
        <v>995</v>
      </c>
      <c r="F23" s="1"/>
      <c r="G23" s="1"/>
      <c r="H23" s="1"/>
      <c r="I23" s="1"/>
      <c r="J23" s="5" t="str">
        <f>IF(C23="x","JUIST","FOUT")</f>
        <v>FOUT</v>
      </c>
      <c r="K23" s="5">
        <f>ABS(IF(J23="JUIST","1","0"))</f>
        <v>0</v>
      </c>
      <c r="L23" s="3">
        <v>1</v>
      </c>
      <c r="M23" s="3"/>
      <c r="N23" s="1"/>
    </row>
    <row r="24" spans="1:14" x14ac:dyDescent="0.2">
      <c r="A24" s="6" t="s">
        <v>1001</v>
      </c>
      <c r="B24" s="6" t="s">
        <v>1005</v>
      </c>
      <c r="C24" s="226" t="s">
        <v>995</v>
      </c>
      <c r="D24" s="11">
        <v>0</v>
      </c>
      <c r="E24" s="222" t="s">
        <v>995</v>
      </c>
      <c r="F24" s="1"/>
      <c r="G24" s="1"/>
      <c r="H24" s="1"/>
      <c r="I24" s="1"/>
      <c r="J24" s="5" t="str">
        <f>IF(D24="x","JUIST","FOUT")</f>
        <v>FOUT</v>
      </c>
      <c r="K24" s="5">
        <f>ABS(IF(J24="JUIST","1","0"))</f>
        <v>0</v>
      </c>
      <c r="L24" s="3">
        <v>1</v>
      </c>
      <c r="M24" s="3"/>
      <c r="N24" s="1"/>
    </row>
    <row r="25" spans="1:14" x14ac:dyDescent="0.2">
      <c r="A25" s="1" t="s">
        <v>995</v>
      </c>
      <c r="B25" s="1"/>
      <c r="C25" s="1"/>
      <c r="D25" s="1"/>
      <c r="E25" s="1"/>
      <c r="F25" s="1"/>
      <c r="G25" s="1"/>
      <c r="H25" s="1"/>
      <c r="I25" s="1"/>
      <c r="J25" s="1"/>
      <c r="K25" s="1"/>
      <c r="L25" s="3"/>
      <c r="M25" s="3"/>
      <c r="N25" s="1"/>
    </row>
    <row r="26" spans="1:14" x14ac:dyDescent="0.2">
      <c r="A26" s="14"/>
      <c r="B26" s="14"/>
      <c r="C26" s="14"/>
      <c r="D26" s="14"/>
      <c r="E26" s="14"/>
      <c r="F26" s="14"/>
      <c r="G26" s="14"/>
      <c r="H26" s="14"/>
      <c r="I26" s="14"/>
      <c r="J26" s="1"/>
      <c r="K26" s="1"/>
      <c r="L26" s="3"/>
      <c r="M26" s="3"/>
      <c r="N26" s="1"/>
    </row>
    <row r="27" spans="1:14" x14ac:dyDescent="0.2">
      <c r="A27" s="1"/>
      <c r="B27" s="1"/>
      <c r="C27" s="1"/>
      <c r="D27" s="1"/>
      <c r="E27" s="1"/>
      <c r="F27" s="1"/>
      <c r="G27" s="1"/>
      <c r="H27" s="1"/>
      <c r="I27" s="1"/>
      <c r="J27" s="1"/>
      <c r="K27" s="1"/>
      <c r="L27" s="3"/>
      <c r="M27" s="3"/>
      <c r="N27" s="1"/>
    </row>
    <row r="28" spans="1:14" x14ac:dyDescent="0.2">
      <c r="A28" s="1" t="s">
        <v>1032</v>
      </c>
      <c r="B28" s="1" t="s">
        <v>1028</v>
      </c>
      <c r="C28" s="1"/>
      <c r="D28" s="1"/>
      <c r="E28" s="3" t="s">
        <v>1009</v>
      </c>
      <c r="F28" s="3" t="s">
        <v>995</v>
      </c>
      <c r="G28" s="3" t="s">
        <v>1010</v>
      </c>
      <c r="H28" s="1"/>
      <c r="I28" s="1"/>
      <c r="J28" s="6" t="e">
        <f>SEARCH("competentie",E35)</f>
        <v>#VALUE!</v>
      </c>
      <c r="K28" s="1"/>
      <c r="L28" s="3"/>
      <c r="M28" s="3"/>
      <c r="N28" s="1"/>
    </row>
    <row r="29" spans="1:14" x14ac:dyDescent="0.2">
      <c r="A29" s="1"/>
      <c r="B29" s="1" t="s">
        <v>1029</v>
      </c>
      <c r="C29" s="1"/>
      <c r="D29" s="1"/>
      <c r="E29" s="1"/>
      <c r="F29" s="1"/>
      <c r="G29" s="1"/>
      <c r="H29" s="1"/>
      <c r="I29" s="1"/>
      <c r="J29" s="6">
        <f>ABS(ISERR(J28))</f>
        <v>1</v>
      </c>
      <c r="K29" s="1"/>
      <c r="L29" s="3"/>
      <c r="M29" s="3"/>
      <c r="N29" s="1"/>
    </row>
    <row r="30" spans="1:14" x14ac:dyDescent="0.2">
      <c r="A30" s="1"/>
      <c r="B30" s="1" t="s">
        <v>2023</v>
      </c>
      <c r="C30" s="1"/>
      <c r="D30" s="1"/>
      <c r="F30" s="1"/>
      <c r="H30" s="1"/>
      <c r="I30" s="1"/>
      <c r="J30" s="1"/>
      <c r="K30" s="1"/>
      <c r="L30" s="3"/>
      <c r="M30" s="3"/>
      <c r="N30" s="1"/>
    </row>
    <row r="31" spans="1:14" x14ac:dyDescent="0.2">
      <c r="A31" s="1"/>
      <c r="B31" s="1" t="s">
        <v>1030</v>
      </c>
      <c r="C31" s="1"/>
      <c r="D31" s="1"/>
      <c r="E31" s="3"/>
      <c r="F31" s="3"/>
      <c r="G31" s="3"/>
      <c r="H31" s="1"/>
      <c r="I31" s="1"/>
      <c r="J31" s="1"/>
      <c r="K31" s="1"/>
      <c r="L31" s="3"/>
      <c r="M31" s="3"/>
      <c r="N31" s="1"/>
    </row>
    <row r="32" spans="1:14" x14ac:dyDescent="0.2">
      <c r="A32" s="1"/>
      <c r="B32" s="1" t="s">
        <v>1031</v>
      </c>
      <c r="C32" s="1"/>
      <c r="D32" s="1"/>
      <c r="E32" s="3" t="s">
        <v>1011</v>
      </c>
      <c r="F32" s="3" t="s">
        <v>995</v>
      </c>
      <c r="G32" s="243" t="s">
        <v>1015</v>
      </c>
      <c r="H32" s="3" t="s">
        <v>1022</v>
      </c>
      <c r="I32" s="17"/>
      <c r="J32" s="1"/>
      <c r="K32" s="1"/>
      <c r="L32" s="3"/>
      <c r="M32" s="3"/>
      <c r="N32" s="1"/>
    </row>
    <row r="33" spans="1:14" x14ac:dyDescent="0.2">
      <c r="A33" s="1"/>
      <c r="B33" s="1" t="s">
        <v>2024</v>
      </c>
      <c r="C33" s="1"/>
      <c r="D33" s="1"/>
      <c r="E33" s="3" t="s">
        <v>1012</v>
      </c>
      <c r="F33" s="3" t="s">
        <v>1027</v>
      </c>
      <c r="G33" s="243" t="s">
        <v>1016</v>
      </c>
      <c r="H33" s="3" t="s">
        <v>1023</v>
      </c>
      <c r="I33" s="17"/>
      <c r="J33" s="1"/>
      <c r="K33" s="1"/>
      <c r="L33" s="3"/>
      <c r="M33" s="3"/>
      <c r="N33" s="1"/>
    </row>
    <row r="34" spans="1:14" x14ac:dyDescent="0.2">
      <c r="A34" s="1"/>
      <c r="B34" s="1"/>
      <c r="C34" s="18" t="s">
        <v>995</v>
      </c>
      <c r="D34" s="1"/>
      <c r="E34" s="3" t="s">
        <v>1013</v>
      </c>
      <c r="F34" s="3" t="s">
        <v>995</v>
      </c>
      <c r="G34" s="3" t="s">
        <v>1019</v>
      </c>
      <c r="H34" s="3" t="s">
        <v>1024</v>
      </c>
      <c r="I34" s="3"/>
      <c r="J34" s="1"/>
      <c r="K34" s="1"/>
      <c r="L34" s="3"/>
      <c r="M34" s="3"/>
      <c r="N34" s="1"/>
    </row>
    <row r="35" spans="1:14" x14ac:dyDescent="0.2">
      <c r="A35" s="1"/>
      <c r="B35" s="120" t="s">
        <v>997</v>
      </c>
      <c r="D35" s="1"/>
      <c r="E35" s="15">
        <v>0</v>
      </c>
      <c r="F35" s="3" t="s">
        <v>995</v>
      </c>
      <c r="G35" s="3" t="s">
        <v>1020</v>
      </c>
      <c r="H35" s="3" t="s">
        <v>1025</v>
      </c>
      <c r="I35" s="16"/>
      <c r="J35" s="1"/>
      <c r="K35" s="1"/>
      <c r="L35" s="3"/>
      <c r="M35" s="3"/>
      <c r="N35" s="1"/>
    </row>
    <row r="36" spans="1:14" ht="13.35" customHeight="1" x14ac:dyDescent="0.2">
      <c r="A36" s="1"/>
      <c r="B36" s="119" t="str">
        <f>IF(K36=1,"JUIST","")</f>
        <v/>
      </c>
      <c r="C36" s="1" t="s">
        <v>995</v>
      </c>
      <c r="D36" s="1"/>
      <c r="E36" s="3" t="s">
        <v>1014</v>
      </c>
      <c r="F36" s="3" t="s">
        <v>995</v>
      </c>
      <c r="G36" s="3" t="s">
        <v>1021</v>
      </c>
      <c r="H36" s="3" t="s">
        <v>1026</v>
      </c>
      <c r="I36" s="16"/>
      <c r="J36" s="5" t="str">
        <f>IF(J29=1,"FOUT","JUIST")</f>
        <v>FOUT</v>
      </c>
      <c r="K36" s="5">
        <f>ABS(IF(J36="JUIST","1","0"))</f>
        <v>0</v>
      </c>
      <c r="L36" s="3">
        <v>1</v>
      </c>
      <c r="M36" s="3"/>
      <c r="N36" s="1"/>
    </row>
    <row r="37" spans="1:14" x14ac:dyDescent="0.2">
      <c r="A37" s="1"/>
      <c r="B37" s="1"/>
      <c r="C37" s="1"/>
      <c r="D37" s="1"/>
      <c r="E37" s="1"/>
      <c r="F37" s="1"/>
      <c r="G37" s="1"/>
      <c r="H37" s="1"/>
      <c r="I37" s="1"/>
      <c r="J37" s="1"/>
      <c r="K37" s="1"/>
      <c r="L37" s="3"/>
      <c r="M37" s="3"/>
      <c r="N37" s="1"/>
    </row>
    <row r="38" spans="1:14" x14ac:dyDescent="0.2">
      <c r="A38" s="1"/>
      <c r="B38" s="82" t="s">
        <v>1033</v>
      </c>
      <c r="C38" s="10">
        <v>0</v>
      </c>
      <c r="D38" s="1"/>
      <c r="E38" s="1"/>
      <c r="F38" s="1"/>
      <c r="G38" s="1"/>
      <c r="H38" s="1"/>
      <c r="I38" s="1"/>
      <c r="J38" s="1"/>
      <c r="K38" s="1"/>
      <c r="L38" s="3"/>
      <c r="M38" s="3"/>
      <c r="N38" s="1"/>
    </row>
    <row r="39" spans="1:14" x14ac:dyDescent="0.2">
      <c r="A39" s="1"/>
      <c r="B39" s="52" t="str">
        <f>J39</f>
        <v/>
      </c>
      <c r="C39" s="1"/>
      <c r="D39" s="1"/>
      <c r="E39" s="1"/>
      <c r="F39" s="1"/>
      <c r="G39" s="1"/>
      <c r="H39" s="1"/>
      <c r="I39" s="1"/>
      <c r="J39" s="5" t="str">
        <f>IF(C38="x","Het juiste antwoord is: competenties","")</f>
        <v/>
      </c>
      <c r="K39" s="1"/>
      <c r="L39" s="3"/>
      <c r="M39" s="3"/>
      <c r="N39" s="1"/>
    </row>
    <row r="40" spans="1:14" x14ac:dyDescent="0.2">
      <c r="A40" s="1"/>
      <c r="B40" s="1"/>
      <c r="C40" s="1"/>
      <c r="D40" s="1"/>
      <c r="E40" s="1"/>
      <c r="F40" s="1"/>
      <c r="G40" s="1"/>
      <c r="H40" s="1"/>
      <c r="I40" s="1"/>
      <c r="J40" s="1"/>
      <c r="K40" s="1"/>
      <c r="L40" s="3"/>
      <c r="M40" s="3"/>
      <c r="N40" s="1"/>
    </row>
    <row r="41" spans="1:14" x14ac:dyDescent="0.2">
      <c r="A41" s="14"/>
      <c r="B41" s="14"/>
      <c r="C41" s="14"/>
      <c r="D41" s="14"/>
      <c r="E41" s="14"/>
      <c r="F41" s="14"/>
      <c r="G41" s="14"/>
      <c r="H41" s="14"/>
      <c r="I41" s="14"/>
      <c r="J41" s="1"/>
      <c r="K41" s="1"/>
      <c r="L41" s="3"/>
      <c r="M41" s="5" t="s">
        <v>25</v>
      </c>
      <c r="N41" s="1"/>
    </row>
    <row r="42" spans="1:14" x14ac:dyDescent="0.2">
      <c r="A42" s="1"/>
      <c r="B42" s="1"/>
      <c r="C42" s="1"/>
      <c r="D42" s="1"/>
      <c r="E42" s="1"/>
      <c r="F42" s="1"/>
      <c r="G42" s="1"/>
      <c r="H42" s="1"/>
      <c r="I42" s="1"/>
      <c r="J42" s="1"/>
      <c r="K42" s="1"/>
      <c r="L42" s="3"/>
      <c r="M42" s="5" t="s">
        <v>995</v>
      </c>
      <c r="N42" s="1"/>
    </row>
    <row r="43" spans="1:14" ht="25.5" x14ac:dyDescent="0.2">
      <c r="A43" s="25" t="s">
        <v>1034</v>
      </c>
      <c r="B43" s="2" t="s">
        <v>2025</v>
      </c>
      <c r="C43" s="1"/>
      <c r="D43" s="1"/>
      <c r="E43" s="1"/>
      <c r="F43" s="1"/>
      <c r="G43" s="1"/>
      <c r="H43" s="1"/>
      <c r="I43" s="1"/>
      <c r="J43" s="1"/>
      <c r="K43" s="1"/>
      <c r="L43" s="3"/>
      <c r="M43" s="5">
        <v>0</v>
      </c>
      <c r="N43" s="1"/>
    </row>
    <row r="44" spans="1:14" x14ac:dyDescent="0.2">
      <c r="A44" s="1"/>
      <c r="B44" s="80" t="s">
        <v>1037</v>
      </c>
      <c r="C44" s="1"/>
      <c r="D44" s="1"/>
      <c r="E44" s="1"/>
      <c r="F44" s="1"/>
      <c r="G44" s="1"/>
      <c r="H44" s="1"/>
      <c r="I44" s="1"/>
      <c r="J44" s="1"/>
      <c r="K44" s="1"/>
      <c r="L44" s="3"/>
      <c r="M44" s="3"/>
      <c r="N44" s="1"/>
    </row>
    <row r="45" spans="1:14" x14ac:dyDescent="0.2">
      <c r="A45" s="1"/>
      <c r="B45" s="81" t="s">
        <v>895</v>
      </c>
      <c r="C45" s="1"/>
      <c r="D45" s="1"/>
      <c r="E45" s="1"/>
      <c r="F45" s="1"/>
      <c r="G45" s="1"/>
      <c r="H45" s="1"/>
      <c r="I45" s="1"/>
      <c r="J45" s="1"/>
      <c r="K45" s="1"/>
      <c r="L45" s="3"/>
      <c r="M45" s="3"/>
      <c r="N45" s="1"/>
    </row>
    <row r="46" spans="1:14" x14ac:dyDescent="0.2">
      <c r="A46" s="1"/>
      <c r="B46" s="1"/>
      <c r="C46" s="1"/>
      <c r="D46" s="1"/>
      <c r="E46" s="1"/>
      <c r="F46" s="1"/>
      <c r="G46" s="1"/>
      <c r="H46" s="1"/>
      <c r="I46" s="1"/>
      <c r="J46" s="1"/>
      <c r="K46" s="1"/>
      <c r="L46" s="3"/>
      <c r="M46" s="3"/>
      <c r="N46" s="1"/>
    </row>
    <row r="47" spans="1:14" ht="25.5" x14ac:dyDescent="0.2">
      <c r="A47" s="26" t="s">
        <v>999</v>
      </c>
      <c r="B47" s="22" t="s">
        <v>1035</v>
      </c>
      <c r="C47" s="24">
        <v>0</v>
      </c>
      <c r="D47" s="37" t="str">
        <f>J47</f>
        <v/>
      </c>
      <c r="E47" s="1"/>
      <c r="F47" s="1"/>
      <c r="G47" s="1"/>
      <c r="H47" s="1"/>
      <c r="I47" s="1"/>
      <c r="J47" s="5" t="str">
        <f>IF(C47="x","FOUT","")</f>
        <v/>
      </c>
      <c r="K47" s="5">
        <f>ABS(IF(J47="JUIST","1","0"))</f>
        <v>0</v>
      </c>
      <c r="L47" s="3"/>
      <c r="M47" s="3"/>
      <c r="N47" s="1"/>
    </row>
    <row r="48" spans="1:14" ht="27" customHeight="1" x14ac:dyDescent="0.2">
      <c r="A48" s="26" t="s">
        <v>1000</v>
      </c>
      <c r="B48" s="22" t="s">
        <v>2026</v>
      </c>
      <c r="C48" s="24">
        <v>0</v>
      </c>
      <c r="D48" s="37" t="str">
        <f>J48</f>
        <v/>
      </c>
      <c r="E48" s="1"/>
      <c r="F48" s="1"/>
      <c r="G48" s="1"/>
      <c r="H48" s="1"/>
      <c r="I48" s="1"/>
      <c r="J48" s="5" t="str">
        <f>IF(C48="x","JUIST","")</f>
        <v/>
      </c>
      <c r="K48" s="5">
        <f>ABS(IF(J48="JUIST","1","0"))</f>
        <v>0</v>
      </c>
      <c r="L48" s="3">
        <v>1</v>
      </c>
      <c r="M48" s="3"/>
      <c r="N48" s="1"/>
    </row>
    <row r="49" spans="1:14" ht="38.25" x14ac:dyDescent="0.2">
      <c r="A49" s="26" t="s">
        <v>1001</v>
      </c>
      <c r="B49" s="22" t="s">
        <v>1036</v>
      </c>
      <c r="C49" s="24">
        <v>0</v>
      </c>
      <c r="D49" s="37" t="str">
        <f>J49</f>
        <v/>
      </c>
      <c r="E49" s="1"/>
      <c r="F49" s="1"/>
      <c r="G49" s="1"/>
      <c r="H49" s="1"/>
      <c r="I49" s="1"/>
      <c r="J49" s="5" t="str">
        <f>IF(C49="x","FOUT","")</f>
        <v/>
      </c>
      <c r="K49" s="5">
        <f>ABS(IF(J49="JUIST","1","0"))</f>
        <v>0</v>
      </c>
      <c r="L49" s="3"/>
      <c r="M49" s="3"/>
      <c r="N49" s="1"/>
    </row>
    <row r="50" spans="1:14" x14ac:dyDescent="0.2">
      <c r="A50" s="23" t="s">
        <v>1002</v>
      </c>
      <c r="B50" s="22" t="s">
        <v>2027</v>
      </c>
      <c r="C50" s="24">
        <v>0</v>
      </c>
      <c r="D50" s="37" t="str">
        <f>J50</f>
        <v/>
      </c>
      <c r="E50" s="1"/>
      <c r="F50" s="1"/>
      <c r="G50" s="1"/>
      <c r="H50" s="1"/>
      <c r="I50" s="1"/>
      <c r="J50" s="5" t="str">
        <f>IF(C50="x","FOUT","")</f>
        <v/>
      </c>
      <c r="K50" s="5">
        <f>ABS(IF(J50="JUIST","1","0"))</f>
        <v>0</v>
      </c>
      <c r="L50" s="3"/>
      <c r="M50" s="3"/>
      <c r="N50" s="1"/>
    </row>
    <row r="51" spans="1:14" x14ac:dyDescent="0.2">
      <c r="A51" s="1"/>
      <c r="B51" s="1"/>
      <c r="C51" s="3"/>
      <c r="D51" s="1"/>
      <c r="E51" s="1"/>
      <c r="F51" s="1"/>
      <c r="G51" s="1"/>
      <c r="H51" s="1"/>
      <c r="I51" s="1"/>
      <c r="J51" s="1"/>
      <c r="K51" s="1"/>
      <c r="L51" s="3"/>
      <c r="M51" s="3"/>
      <c r="N51" s="1"/>
    </row>
    <row r="52" spans="1:14" x14ac:dyDescent="0.2">
      <c r="A52" s="1"/>
      <c r="B52" s="82" t="s">
        <v>1033</v>
      </c>
      <c r="C52" s="10" t="s">
        <v>995</v>
      </c>
      <c r="D52" s="1"/>
      <c r="E52" s="1"/>
      <c r="F52" s="1"/>
      <c r="G52" s="1"/>
      <c r="H52" s="1"/>
      <c r="I52" s="1"/>
      <c r="J52" s="1"/>
      <c r="K52" s="1"/>
      <c r="L52" s="3"/>
      <c r="M52" s="3"/>
      <c r="N52" s="1"/>
    </row>
    <row r="53" spans="1:14" x14ac:dyDescent="0.2">
      <c r="A53" s="1"/>
      <c r="B53" s="52" t="str">
        <f>J53</f>
        <v/>
      </c>
      <c r="C53" s="1"/>
      <c r="D53" s="1"/>
      <c r="E53" s="1"/>
      <c r="F53" s="1"/>
      <c r="G53" s="1"/>
      <c r="H53" s="1"/>
      <c r="I53" s="1"/>
      <c r="J53" s="5" t="str">
        <f>IF(C52="x","Het juiste antwoord is: B","")</f>
        <v/>
      </c>
      <c r="K53" s="1"/>
      <c r="L53" s="3"/>
      <c r="M53" s="3"/>
      <c r="N53" s="1"/>
    </row>
    <row r="54" spans="1:14" x14ac:dyDescent="0.2">
      <c r="A54" s="1"/>
      <c r="B54" s="1"/>
      <c r="C54" s="1"/>
      <c r="D54" s="1"/>
      <c r="E54" s="1"/>
      <c r="F54" s="1"/>
      <c r="G54" s="1"/>
      <c r="H54" s="1"/>
      <c r="I54" s="1"/>
      <c r="J54" s="1"/>
      <c r="K54" s="1"/>
      <c r="L54" s="3"/>
      <c r="M54" s="3"/>
      <c r="N54" s="1"/>
    </row>
    <row r="55" spans="1:14" x14ac:dyDescent="0.2">
      <c r="A55" s="14"/>
      <c r="B55" s="14"/>
      <c r="C55" s="14"/>
      <c r="D55" s="14"/>
      <c r="E55" s="14"/>
      <c r="F55" s="14"/>
      <c r="G55" s="14"/>
      <c r="H55" s="14"/>
      <c r="I55" s="14"/>
      <c r="J55" s="1"/>
      <c r="K55" s="1"/>
      <c r="L55" s="3"/>
      <c r="M55" s="3"/>
      <c r="N55" s="1"/>
    </row>
    <row r="56" spans="1:14" x14ac:dyDescent="0.2">
      <c r="A56" s="1"/>
      <c r="B56" s="1"/>
      <c r="C56" s="1"/>
      <c r="D56" s="1"/>
      <c r="E56" s="1"/>
      <c r="F56" s="1"/>
      <c r="G56" s="1"/>
      <c r="H56" s="1"/>
      <c r="I56" s="1"/>
      <c r="J56" s="1"/>
      <c r="K56" s="1"/>
      <c r="L56" s="3"/>
      <c r="M56" s="3"/>
      <c r="N56" s="1"/>
    </row>
    <row r="57" spans="1:14" x14ac:dyDescent="0.2">
      <c r="A57" s="1" t="s">
        <v>1038</v>
      </c>
      <c r="B57" s="1" t="s">
        <v>2028</v>
      </c>
      <c r="C57" s="1"/>
      <c r="D57" s="1"/>
      <c r="E57" s="1"/>
      <c r="F57" s="1"/>
      <c r="G57" s="1"/>
      <c r="H57" s="1"/>
      <c r="I57" s="1"/>
      <c r="J57" s="1"/>
      <c r="K57" s="1"/>
      <c r="L57" s="3"/>
      <c r="M57" s="3"/>
      <c r="N57" s="1"/>
    </row>
    <row r="58" spans="1:14" x14ac:dyDescent="0.2">
      <c r="A58" s="1"/>
      <c r="B58" s="80" t="s">
        <v>1037</v>
      </c>
      <c r="C58" s="1"/>
      <c r="D58" s="1"/>
      <c r="E58" s="1"/>
      <c r="F58" s="1"/>
      <c r="G58" s="1"/>
      <c r="H58" s="1"/>
      <c r="I58" s="1"/>
      <c r="J58" s="1"/>
      <c r="K58" s="1"/>
      <c r="L58" s="3"/>
      <c r="M58" s="3"/>
      <c r="N58" s="1"/>
    </row>
    <row r="59" spans="1:14" x14ac:dyDescent="0.2">
      <c r="A59" s="1"/>
      <c r="B59" s="81" t="s">
        <v>895</v>
      </c>
      <c r="C59" s="1"/>
      <c r="D59" s="1"/>
      <c r="E59" s="1"/>
      <c r="F59" s="1"/>
      <c r="G59" s="1"/>
      <c r="H59" s="1"/>
      <c r="I59" s="1"/>
      <c r="J59" s="1"/>
      <c r="K59" s="1"/>
      <c r="L59" s="3"/>
      <c r="M59" s="3"/>
      <c r="N59" s="1"/>
    </row>
    <row r="60" spans="1:14" x14ac:dyDescent="0.2">
      <c r="A60" s="1"/>
      <c r="B60" s="1"/>
      <c r="C60" s="1"/>
      <c r="D60" s="1"/>
      <c r="E60" s="1"/>
      <c r="F60" s="1"/>
      <c r="G60" s="1"/>
      <c r="H60" s="1"/>
      <c r="I60" s="1"/>
      <c r="J60" s="1"/>
      <c r="K60" s="1"/>
      <c r="L60" s="3"/>
      <c r="M60" s="3"/>
      <c r="N60" s="1"/>
    </row>
    <row r="61" spans="1:14" ht="39.6" customHeight="1" x14ac:dyDescent="0.2">
      <c r="A61" s="26" t="s">
        <v>999</v>
      </c>
      <c r="B61" s="520" t="s">
        <v>1039</v>
      </c>
      <c r="C61" s="24" t="s">
        <v>995</v>
      </c>
      <c r="D61" s="37" t="str">
        <f>J61</f>
        <v/>
      </c>
      <c r="E61" s="1"/>
      <c r="F61" s="4" t="s">
        <v>1234</v>
      </c>
      <c r="G61" s="1"/>
      <c r="H61" s="1"/>
      <c r="I61" s="1"/>
      <c r="J61" s="5" t="str">
        <f>IF(C61="x","JUIST","")</f>
        <v/>
      </c>
      <c r="K61" s="5">
        <f>ABS(IF(J61="JUIST","1","0"))</f>
        <v>0</v>
      </c>
      <c r="L61" s="3">
        <v>1</v>
      </c>
      <c r="M61" s="3"/>
      <c r="N61" s="1"/>
    </row>
    <row r="62" spans="1:14" ht="38.25" x14ac:dyDescent="0.2">
      <c r="A62" s="26" t="s">
        <v>1000</v>
      </c>
      <c r="B62" s="22" t="s">
        <v>2029</v>
      </c>
      <c r="C62" s="24" t="s">
        <v>995</v>
      </c>
      <c r="D62" s="37" t="str">
        <f>J62</f>
        <v/>
      </c>
      <c r="E62" s="1"/>
      <c r="F62" s="490" t="s">
        <v>1224</v>
      </c>
      <c r="G62" s="1"/>
      <c r="H62" s="1"/>
      <c r="I62" s="1"/>
      <c r="J62" s="5" t="str">
        <f>IF(C62="x","FOUT","")</f>
        <v/>
      </c>
      <c r="K62" s="5">
        <f>ABS(IF(J62="JUIST","1","0"))</f>
        <v>0</v>
      </c>
      <c r="L62" s="3"/>
      <c r="M62" s="3"/>
      <c r="N62" s="1"/>
    </row>
    <row r="63" spans="1:14" ht="25.5" x14ac:dyDescent="0.2">
      <c r="A63" s="26" t="s">
        <v>1001</v>
      </c>
      <c r="B63" s="22" t="s">
        <v>1040</v>
      </c>
      <c r="C63" s="24" t="s">
        <v>995</v>
      </c>
      <c r="D63" s="37" t="str">
        <f>J63</f>
        <v/>
      </c>
      <c r="E63" s="1"/>
      <c r="F63" s="1"/>
      <c r="G63" s="1"/>
      <c r="H63" s="1"/>
      <c r="I63" s="1"/>
      <c r="J63" s="5" t="str">
        <f>IF(C63="x","FOUT","")</f>
        <v/>
      </c>
      <c r="K63" s="5">
        <f>ABS(IF(J63="JUIST","1","0"))</f>
        <v>0</v>
      </c>
      <c r="L63" s="3"/>
      <c r="M63" s="3"/>
      <c r="N63" s="1"/>
    </row>
    <row r="64" spans="1:14" ht="51" x14ac:dyDescent="0.2">
      <c r="A64" s="26" t="s">
        <v>1002</v>
      </c>
      <c r="B64" s="520" t="s">
        <v>2030</v>
      </c>
      <c r="C64" s="24" t="s">
        <v>995</v>
      </c>
      <c r="D64" s="37" t="str">
        <f>J64</f>
        <v/>
      </c>
      <c r="E64" s="1"/>
      <c r="F64" s="22" t="s">
        <v>331</v>
      </c>
      <c r="G64" s="1"/>
      <c r="H64" s="1"/>
      <c r="I64" s="1"/>
      <c r="J64" s="5" t="str">
        <f>IF(C64="x","FOUT","")</f>
        <v/>
      </c>
      <c r="K64" s="5">
        <f>ABS(IF(J64="JUIST","1","0"))</f>
        <v>0</v>
      </c>
      <c r="L64" s="3"/>
      <c r="M64" s="3"/>
      <c r="N64" s="1"/>
    </row>
    <row r="65" spans="1:14" x14ac:dyDescent="0.2">
      <c r="A65" s="1"/>
      <c r="B65" s="1"/>
      <c r="C65" s="1"/>
      <c r="D65" s="1"/>
      <c r="E65" s="1"/>
      <c r="F65" s="172" t="s">
        <v>332</v>
      </c>
      <c r="G65" s="1"/>
      <c r="H65" s="1"/>
      <c r="I65" s="1"/>
      <c r="J65" s="1"/>
      <c r="K65" s="1"/>
      <c r="L65" s="3"/>
      <c r="M65" s="3"/>
      <c r="N65" s="1"/>
    </row>
    <row r="66" spans="1:14" x14ac:dyDescent="0.2">
      <c r="A66" s="1"/>
      <c r="B66" s="82" t="s">
        <v>1033</v>
      </c>
      <c r="C66" s="10" t="s">
        <v>995</v>
      </c>
      <c r="D66" s="1"/>
      <c r="E66" s="1"/>
      <c r="F66" s="1"/>
      <c r="G66" s="1"/>
      <c r="H66" s="1"/>
      <c r="I66" s="1"/>
      <c r="J66" s="1"/>
      <c r="K66" s="1"/>
      <c r="L66" s="3"/>
      <c r="M66" s="3"/>
      <c r="N66" s="1"/>
    </row>
    <row r="67" spans="1:14" x14ac:dyDescent="0.2">
      <c r="A67" s="1"/>
      <c r="B67" s="52" t="str">
        <f>J67</f>
        <v/>
      </c>
      <c r="C67" s="1"/>
      <c r="D67" s="1"/>
      <c r="E67" s="1"/>
      <c r="F67" s="1"/>
      <c r="G67" s="1"/>
      <c r="H67" s="1"/>
      <c r="I67" s="1"/>
      <c r="J67" s="5" t="str">
        <f>IF(C66="x","Het juiste antwoord is: A","")</f>
        <v/>
      </c>
      <c r="K67" s="1"/>
      <c r="L67" s="3"/>
      <c r="M67" s="3"/>
      <c r="N67" s="1"/>
    </row>
    <row r="68" spans="1:14" x14ac:dyDescent="0.2">
      <c r="A68" s="1"/>
      <c r="B68" s="1"/>
      <c r="C68" s="1"/>
      <c r="D68" s="1"/>
      <c r="E68" s="1"/>
      <c r="F68" s="1"/>
      <c r="G68" s="1"/>
      <c r="H68" s="1"/>
      <c r="I68" s="1"/>
      <c r="J68" s="1"/>
      <c r="K68" s="1"/>
      <c r="L68" s="3"/>
      <c r="M68" s="3"/>
      <c r="N68" s="1"/>
    </row>
    <row r="69" spans="1:14" x14ac:dyDescent="0.2">
      <c r="A69" s="14"/>
      <c r="B69" s="14"/>
      <c r="C69" s="14"/>
      <c r="D69" s="14"/>
      <c r="E69" s="14"/>
      <c r="F69" s="14"/>
      <c r="G69" s="14"/>
      <c r="H69" s="14"/>
      <c r="I69" s="14"/>
      <c r="J69" s="1"/>
      <c r="K69" s="1"/>
      <c r="L69" s="3"/>
      <c r="M69" s="3"/>
      <c r="N69" s="1"/>
    </row>
    <row r="70" spans="1:14" x14ac:dyDescent="0.2">
      <c r="A70" s="1"/>
      <c r="B70" s="1"/>
      <c r="C70" s="1"/>
      <c r="D70" s="1"/>
      <c r="E70" s="1"/>
      <c r="F70" s="1"/>
      <c r="G70" s="1"/>
      <c r="H70" s="1"/>
      <c r="I70" s="1"/>
      <c r="J70" s="1"/>
      <c r="K70" s="1"/>
      <c r="L70" s="3"/>
      <c r="M70" s="3"/>
      <c r="N70" s="1"/>
    </row>
    <row r="71" spans="1:14" x14ac:dyDescent="0.2">
      <c r="A71" s="1" t="s">
        <v>860</v>
      </c>
      <c r="B71" s="1" t="s">
        <v>1041</v>
      </c>
      <c r="C71" s="1"/>
      <c r="D71" s="1"/>
      <c r="E71" s="1"/>
      <c r="F71" s="1"/>
      <c r="G71" s="1"/>
      <c r="H71" s="1"/>
      <c r="I71" s="1"/>
      <c r="J71" s="1"/>
      <c r="K71" s="1"/>
      <c r="L71" s="3"/>
      <c r="M71" s="3"/>
      <c r="N71" s="1"/>
    </row>
    <row r="72" spans="1:14" ht="39.6" customHeight="1" x14ac:dyDescent="0.2">
      <c r="A72" s="1"/>
      <c r="B72" s="544" t="s">
        <v>2612</v>
      </c>
      <c r="C72" s="1"/>
      <c r="D72" s="1"/>
      <c r="E72" s="1"/>
      <c r="F72" s="4" t="s">
        <v>1235</v>
      </c>
      <c r="G72" s="1"/>
      <c r="H72" s="1"/>
      <c r="I72" s="1"/>
      <c r="J72" s="1"/>
      <c r="K72" s="1"/>
      <c r="L72" s="3"/>
      <c r="M72" s="3"/>
      <c r="N72" s="1"/>
    </row>
    <row r="73" spans="1:14" x14ac:dyDescent="0.2">
      <c r="A73" s="1"/>
      <c r="B73" s="25" t="s">
        <v>1042</v>
      </c>
      <c r="C73" s="1"/>
      <c r="D73" s="1"/>
      <c r="E73" s="1"/>
      <c r="F73" s="231" t="s">
        <v>1684</v>
      </c>
      <c r="G73" s="1"/>
      <c r="H73" s="1"/>
      <c r="I73" s="1"/>
      <c r="J73" s="1"/>
      <c r="K73" s="1"/>
      <c r="L73" s="3"/>
      <c r="M73" s="3"/>
      <c r="N73" s="1"/>
    </row>
    <row r="74" spans="1:14" x14ac:dyDescent="0.2">
      <c r="A74" s="1"/>
      <c r="B74" s="188" t="s">
        <v>1037</v>
      </c>
      <c r="C74" s="1"/>
      <c r="D74" s="1"/>
      <c r="E74" s="1"/>
      <c r="F74" s="1"/>
      <c r="G74" s="1"/>
      <c r="H74" s="1"/>
      <c r="I74" s="1"/>
      <c r="J74" s="1"/>
      <c r="K74" s="1"/>
      <c r="L74" s="3"/>
      <c r="M74" s="3"/>
      <c r="N74" s="1"/>
    </row>
    <row r="75" spans="1:14" x14ac:dyDescent="0.2">
      <c r="A75" s="1"/>
      <c r="B75" s="263" t="s">
        <v>895</v>
      </c>
      <c r="C75" s="1"/>
      <c r="D75" s="1"/>
      <c r="E75" s="1"/>
      <c r="F75" s="1"/>
      <c r="G75" s="1"/>
      <c r="H75" s="1"/>
      <c r="I75" s="1"/>
      <c r="J75" s="1"/>
      <c r="K75" s="1"/>
      <c r="L75" s="3"/>
      <c r="M75" s="3"/>
      <c r="N75" s="1"/>
    </row>
    <row r="76" spans="1:14" x14ac:dyDescent="0.2">
      <c r="A76" s="1"/>
      <c r="B76" s="1"/>
      <c r="C76" s="1"/>
      <c r="D76" s="1"/>
      <c r="E76" s="1"/>
      <c r="F76" s="1"/>
      <c r="G76" s="1"/>
      <c r="H76" s="1"/>
      <c r="I76" s="1"/>
      <c r="J76" s="1"/>
      <c r="K76" s="1"/>
      <c r="L76" s="3"/>
      <c r="M76" s="3"/>
      <c r="N76" s="1"/>
    </row>
    <row r="77" spans="1:14" ht="25.5" x14ac:dyDescent="0.2">
      <c r="A77" s="26" t="s">
        <v>999</v>
      </c>
      <c r="B77" s="546" t="s">
        <v>2646</v>
      </c>
      <c r="C77" s="24">
        <v>0</v>
      </c>
      <c r="D77" s="3" t="str">
        <f>J77</f>
        <v/>
      </c>
      <c r="E77" s="1"/>
      <c r="F77" s="1"/>
      <c r="G77" s="1"/>
      <c r="H77" s="1"/>
      <c r="I77" s="1"/>
      <c r="J77" s="5" t="str">
        <f>IF(C77="x","FOUT","")</f>
        <v/>
      </c>
      <c r="K77" s="5">
        <f>ABS(IF(J77="JUIST","1","0"))</f>
        <v>0</v>
      </c>
      <c r="L77" s="3"/>
      <c r="M77" s="3"/>
      <c r="N77" s="1"/>
    </row>
    <row r="78" spans="1:14" ht="25.5" x14ac:dyDescent="0.2">
      <c r="A78" s="26" t="s">
        <v>1000</v>
      </c>
      <c r="B78" s="524" t="s">
        <v>857</v>
      </c>
      <c r="C78" s="24">
        <v>0</v>
      </c>
      <c r="D78" s="3" t="str">
        <f>J78</f>
        <v/>
      </c>
      <c r="E78" s="1"/>
      <c r="F78" s="1"/>
      <c r="G78" s="1"/>
      <c r="H78" s="1"/>
      <c r="I78" s="1"/>
      <c r="J78" s="5" t="str">
        <f>IF(C78="x","FOUT","")</f>
        <v/>
      </c>
      <c r="K78" s="5">
        <f>ABS(IF(J78="JUIST","1","0"))</f>
        <v>0</v>
      </c>
      <c r="L78" s="3"/>
      <c r="M78" s="3"/>
      <c r="N78" s="1"/>
    </row>
    <row r="79" spans="1:14" ht="25.5" x14ac:dyDescent="0.2">
      <c r="A79" s="26" t="s">
        <v>1001</v>
      </c>
      <c r="B79" s="524" t="s">
        <v>2031</v>
      </c>
      <c r="C79" s="24">
        <v>0</v>
      </c>
      <c r="D79" s="3" t="str">
        <f>J79</f>
        <v/>
      </c>
      <c r="E79" s="1"/>
      <c r="F79" s="1"/>
      <c r="G79" s="1"/>
      <c r="H79" s="1"/>
      <c r="I79" s="1"/>
      <c r="J79" s="5" t="str">
        <f>IF(C79="x","FOUT","")</f>
        <v/>
      </c>
      <c r="K79" s="5">
        <f>ABS(IF(J79="JUIST","1","0"))</f>
        <v>0</v>
      </c>
      <c r="L79" s="3"/>
      <c r="M79" s="3"/>
      <c r="N79" s="1"/>
    </row>
    <row r="80" spans="1:14" ht="39" customHeight="1" x14ac:dyDescent="0.2">
      <c r="A80" s="26" t="s">
        <v>1002</v>
      </c>
      <c r="B80" s="525" t="s">
        <v>2032</v>
      </c>
      <c r="C80" s="24">
        <v>0</v>
      </c>
      <c r="D80" s="3" t="str">
        <f>J80</f>
        <v/>
      </c>
      <c r="E80" s="1"/>
      <c r="F80" s="1"/>
      <c r="G80" s="1"/>
      <c r="H80" s="1"/>
      <c r="I80" s="1"/>
      <c r="J80" s="5" t="str">
        <f>IF(C80="x","JUIST","")</f>
        <v/>
      </c>
      <c r="K80" s="5">
        <f>ABS(IF(J80="JUIST","1","0"))</f>
        <v>0</v>
      </c>
      <c r="L80" s="3">
        <v>1</v>
      </c>
      <c r="M80" s="3"/>
      <c r="N80" s="1"/>
    </row>
    <row r="81" spans="1:14" x14ac:dyDescent="0.2">
      <c r="A81" s="1"/>
      <c r="B81" s="1"/>
      <c r="C81" s="1"/>
      <c r="D81" s="1"/>
      <c r="E81" s="1"/>
      <c r="F81" s="1"/>
      <c r="G81" s="1"/>
      <c r="H81" s="1"/>
      <c r="I81" s="1"/>
      <c r="J81" s="1"/>
      <c r="K81" s="1"/>
      <c r="L81" s="3"/>
      <c r="M81" s="3"/>
      <c r="N81" s="1"/>
    </row>
    <row r="82" spans="1:14" x14ac:dyDescent="0.2">
      <c r="A82" s="1"/>
      <c r="B82" s="82" t="s">
        <v>1033</v>
      </c>
      <c r="C82" s="10" t="s">
        <v>995</v>
      </c>
      <c r="D82" s="1"/>
      <c r="E82" s="1"/>
      <c r="F82" s="1"/>
      <c r="G82" s="1"/>
      <c r="H82" s="1"/>
      <c r="I82" s="1"/>
      <c r="J82" s="1"/>
      <c r="K82" s="1"/>
      <c r="L82" s="3"/>
      <c r="M82" s="3"/>
      <c r="N82" s="1"/>
    </row>
    <row r="83" spans="1:14" x14ac:dyDescent="0.2">
      <c r="A83" s="1"/>
      <c r="B83" s="52" t="str">
        <f>J83</f>
        <v/>
      </c>
      <c r="C83" s="1"/>
      <c r="D83" s="1"/>
      <c r="E83" s="1"/>
      <c r="F83" s="1"/>
      <c r="G83" s="1"/>
      <c r="H83" s="1"/>
      <c r="I83" s="1"/>
      <c r="J83" s="5" t="str">
        <f>IF(C82="x","Het juiste antwoord is: D","")</f>
        <v/>
      </c>
      <c r="K83" s="1"/>
      <c r="L83" s="3"/>
      <c r="M83" s="3"/>
      <c r="N83" s="1"/>
    </row>
    <row r="84" spans="1:14" x14ac:dyDescent="0.2">
      <c r="A84" s="1"/>
      <c r="B84" s="1"/>
      <c r="C84" s="1"/>
      <c r="D84" s="1"/>
      <c r="E84" s="1"/>
      <c r="F84" s="1"/>
      <c r="G84" s="1"/>
      <c r="H84" s="1"/>
      <c r="I84" s="1"/>
      <c r="J84" s="1"/>
      <c r="K84" s="1"/>
      <c r="L84" s="3"/>
      <c r="M84" s="3"/>
      <c r="N84" s="1"/>
    </row>
    <row r="85" spans="1:14" x14ac:dyDescent="0.2">
      <c r="A85" s="14"/>
      <c r="B85" s="14"/>
      <c r="C85" s="14"/>
      <c r="D85" s="14"/>
      <c r="E85" s="14"/>
      <c r="F85" s="14"/>
      <c r="G85" s="14"/>
      <c r="H85" s="14"/>
      <c r="I85" s="14"/>
      <c r="J85" s="1"/>
      <c r="K85" s="1"/>
      <c r="L85" s="3"/>
      <c r="M85" s="3"/>
      <c r="N85" s="1"/>
    </row>
    <row r="86" spans="1:14" x14ac:dyDescent="0.2">
      <c r="A86" s="1"/>
      <c r="B86" s="1"/>
      <c r="C86" s="1"/>
      <c r="D86" s="1"/>
      <c r="E86" s="1"/>
      <c r="F86" s="1"/>
      <c r="G86" s="1"/>
      <c r="H86" s="1"/>
      <c r="I86" s="1"/>
      <c r="J86" s="1"/>
      <c r="K86" s="1"/>
      <c r="L86" s="3"/>
      <c r="M86" s="3"/>
      <c r="N86" s="1"/>
    </row>
    <row r="87" spans="1:14" ht="38.25" x14ac:dyDescent="0.2">
      <c r="A87" s="25" t="s">
        <v>861</v>
      </c>
      <c r="B87" s="2" t="s">
        <v>2033</v>
      </c>
      <c r="C87" s="1"/>
      <c r="D87" s="1"/>
      <c r="E87" s="1"/>
      <c r="F87" s="1"/>
      <c r="G87" s="1"/>
      <c r="H87" s="1"/>
      <c r="I87" s="1"/>
      <c r="J87" s="1"/>
      <c r="K87" s="1"/>
      <c r="L87" s="3"/>
      <c r="M87" s="3"/>
      <c r="N87" s="1"/>
    </row>
    <row r="88" spans="1:14" ht="27" customHeight="1" x14ac:dyDescent="0.2">
      <c r="A88" s="1"/>
      <c r="B88" s="200" t="s">
        <v>2647</v>
      </c>
      <c r="C88" s="1"/>
      <c r="D88" s="1"/>
      <c r="E88" s="1"/>
      <c r="F88" s="1"/>
      <c r="G88" s="1"/>
      <c r="H88" s="1"/>
      <c r="I88" s="1"/>
      <c r="J88" s="1"/>
      <c r="K88" s="1"/>
      <c r="L88" s="3"/>
      <c r="M88" s="3"/>
      <c r="N88" s="1"/>
    </row>
    <row r="89" spans="1:14" ht="50.25" customHeight="1" x14ac:dyDescent="0.2">
      <c r="A89" s="1"/>
      <c r="B89" s="200" t="s">
        <v>2648</v>
      </c>
      <c r="C89" s="1"/>
      <c r="D89" s="1"/>
      <c r="E89" s="1"/>
      <c r="F89" s="1"/>
      <c r="G89" s="1"/>
      <c r="H89" s="1"/>
      <c r="I89" s="1"/>
      <c r="J89" s="1"/>
      <c r="K89" s="1"/>
      <c r="L89" s="3"/>
      <c r="M89" s="3"/>
      <c r="N89" s="1"/>
    </row>
    <row r="90" spans="1:14" ht="39" thickBot="1" x14ac:dyDescent="0.25">
      <c r="A90" s="1"/>
      <c r="B90" s="2" t="s">
        <v>2034</v>
      </c>
      <c r="C90" s="1"/>
      <c r="D90" s="57" t="s">
        <v>858</v>
      </c>
      <c r="E90" s="57" t="s">
        <v>859</v>
      </c>
      <c r="F90" s="1"/>
      <c r="G90" s="1"/>
      <c r="H90" s="1"/>
      <c r="I90" s="1"/>
      <c r="J90" s="1"/>
      <c r="K90" s="1"/>
      <c r="L90" s="3"/>
      <c r="M90" s="3"/>
      <c r="N90" s="1"/>
    </row>
    <row r="91" spans="1:14" ht="13.5" thickTop="1" x14ac:dyDescent="0.2">
      <c r="A91" s="1"/>
      <c r="B91" s="81" t="s">
        <v>895</v>
      </c>
      <c r="C91" s="1"/>
      <c r="D91" s="425" t="s">
        <v>995</v>
      </c>
      <c r="E91" s="425" t="s">
        <v>995</v>
      </c>
      <c r="F91" s="1"/>
      <c r="G91" s="1"/>
      <c r="H91" s="1"/>
      <c r="I91" s="1"/>
      <c r="J91" s="5" t="str">
        <f>IF(D91="x","FOUT","")</f>
        <v/>
      </c>
      <c r="K91" s="5">
        <f>ABS(IF(J91="JUIST","1","0"))</f>
        <v>0</v>
      </c>
      <c r="L91" s="3"/>
      <c r="M91" s="3"/>
      <c r="N91" s="1"/>
    </row>
    <row r="92" spans="1:14" x14ac:dyDescent="0.2">
      <c r="A92" s="1"/>
      <c r="B92" s="1"/>
      <c r="C92" s="1"/>
      <c r="D92" s="3" t="str">
        <f>J91</f>
        <v/>
      </c>
      <c r="E92" s="3" t="str">
        <f>J92</f>
        <v/>
      </c>
      <c r="F92" s="1"/>
      <c r="G92" s="1"/>
      <c r="H92" s="1"/>
      <c r="I92" s="1"/>
      <c r="J92" s="5" t="str">
        <f>IF(E91="x","JUIST","")</f>
        <v/>
      </c>
      <c r="K92" s="5">
        <f>ABS(IF(J92="JUIST","1","0"))</f>
        <v>0</v>
      </c>
      <c r="L92" s="3">
        <v>1</v>
      </c>
      <c r="M92" s="3"/>
      <c r="N92" s="1"/>
    </row>
    <row r="93" spans="1:14" x14ac:dyDescent="0.2">
      <c r="A93" s="1"/>
      <c r="B93" s="82" t="s">
        <v>1033</v>
      </c>
      <c r="C93" s="318" t="s">
        <v>995</v>
      </c>
      <c r="D93" s="1"/>
      <c r="E93" s="1"/>
      <c r="F93" s="1"/>
      <c r="G93" s="1"/>
      <c r="H93" s="1"/>
      <c r="I93" s="1"/>
      <c r="J93" s="1"/>
      <c r="K93" s="1"/>
      <c r="L93" s="3"/>
      <c r="M93" s="3"/>
      <c r="N93" s="1"/>
    </row>
    <row r="94" spans="1:14" x14ac:dyDescent="0.2">
      <c r="A94" s="1"/>
      <c r="B94" s="52" t="str">
        <f>J94</f>
        <v/>
      </c>
      <c r="C94" s="1"/>
      <c r="D94" s="1"/>
      <c r="E94" s="1"/>
      <c r="F94" s="1"/>
      <c r="G94" s="1"/>
      <c r="H94" s="1"/>
      <c r="I94" s="1"/>
      <c r="J94" s="5" t="str">
        <f>IF(C93="x","Het juiste antwoord is: Zie boek 'HRM voor de lijnmanager' paragraaf 1.2","")</f>
        <v/>
      </c>
      <c r="K94" s="1"/>
      <c r="L94" s="3"/>
      <c r="M94" s="3"/>
      <c r="N94" s="1"/>
    </row>
    <row r="95" spans="1:14" x14ac:dyDescent="0.2">
      <c r="A95" s="1"/>
      <c r="B95" s="1"/>
      <c r="C95" s="1"/>
      <c r="D95" s="1"/>
      <c r="E95" s="1"/>
      <c r="F95" s="1"/>
      <c r="G95" s="1"/>
      <c r="H95" s="1"/>
      <c r="I95" s="1"/>
      <c r="J95" s="1"/>
      <c r="K95" s="1"/>
      <c r="L95" s="3"/>
      <c r="M95" s="3"/>
      <c r="N95" s="1"/>
    </row>
    <row r="96" spans="1:14" x14ac:dyDescent="0.2">
      <c r="A96" s="14"/>
      <c r="B96" s="14"/>
      <c r="C96" s="14"/>
      <c r="D96" s="14"/>
      <c r="E96" s="14"/>
      <c r="F96" s="14"/>
      <c r="G96" s="14"/>
      <c r="H96" s="14"/>
      <c r="I96" s="14"/>
      <c r="J96" s="1"/>
      <c r="K96" s="1"/>
      <c r="L96" s="3"/>
      <c r="M96" s="3"/>
      <c r="N96" s="1"/>
    </row>
    <row r="97" spans="1:14" x14ac:dyDescent="0.2">
      <c r="A97" s="1"/>
      <c r="B97" s="1"/>
      <c r="C97" s="1"/>
      <c r="D97" s="1"/>
      <c r="E97" s="1"/>
      <c r="F97" s="1"/>
      <c r="G97" s="1"/>
      <c r="H97" s="1"/>
      <c r="I97" s="1"/>
      <c r="J97" s="1"/>
      <c r="K97" s="1"/>
      <c r="L97" s="3"/>
      <c r="M97" s="3"/>
      <c r="N97" s="1"/>
    </row>
    <row r="98" spans="1:14" ht="28.5" customHeight="1" x14ac:dyDescent="0.2">
      <c r="A98" s="25" t="s">
        <v>862</v>
      </c>
      <c r="B98" s="200" t="s">
        <v>2649</v>
      </c>
      <c r="C98" s="1"/>
      <c r="D98" s="1"/>
      <c r="E98" s="1"/>
      <c r="F98" s="1"/>
      <c r="G98" s="1"/>
      <c r="H98" s="1"/>
      <c r="I98" s="1"/>
      <c r="J98" s="1"/>
      <c r="K98" s="1"/>
      <c r="L98" s="3"/>
      <c r="M98" s="3"/>
      <c r="N98" s="1"/>
    </row>
    <row r="99" spans="1:14" ht="25.5" x14ac:dyDescent="0.2">
      <c r="A99" s="1"/>
      <c r="B99" s="2" t="s">
        <v>286</v>
      </c>
      <c r="C99" s="1"/>
      <c r="D99" s="1"/>
      <c r="E99" s="1"/>
      <c r="F99" s="1"/>
      <c r="G99" s="1"/>
      <c r="H99" s="1"/>
      <c r="I99" s="1"/>
      <c r="J99" s="1"/>
      <c r="K99" s="1"/>
      <c r="L99" s="3"/>
      <c r="M99" s="3"/>
      <c r="N99" s="1"/>
    </row>
    <row r="100" spans="1:14" x14ac:dyDescent="0.2">
      <c r="A100" s="1"/>
      <c r="B100" s="1" t="s">
        <v>995</v>
      </c>
      <c r="C100" s="1"/>
      <c r="D100" s="1"/>
      <c r="E100" s="1"/>
      <c r="F100" s="1"/>
      <c r="G100" s="1"/>
      <c r="H100" s="1"/>
      <c r="I100" s="1"/>
      <c r="J100" s="6" t="e">
        <f>SEARCH("leidinggeven",B105)</f>
        <v>#VALUE!</v>
      </c>
      <c r="K100" s="1"/>
      <c r="L100" s="3"/>
      <c r="M100" s="3"/>
      <c r="N100" s="1"/>
    </row>
    <row r="101" spans="1:14" x14ac:dyDescent="0.2">
      <c r="A101" s="6">
        <v>1</v>
      </c>
      <c r="B101" s="27" t="s">
        <v>867</v>
      </c>
      <c r="C101" s="1"/>
      <c r="D101" s="1"/>
      <c r="E101" s="1" t="s">
        <v>995</v>
      </c>
      <c r="F101" s="1"/>
      <c r="G101" s="1"/>
      <c r="H101" s="1"/>
      <c r="I101" s="1"/>
      <c r="J101" s="6">
        <f>ABS(ISERR(J100))</f>
        <v>1</v>
      </c>
      <c r="K101" s="1"/>
      <c r="L101" s="3"/>
      <c r="M101" s="3"/>
      <c r="N101" s="1"/>
    </row>
    <row r="102" spans="1:14" x14ac:dyDescent="0.2">
      <c r="A102" s="6">
        <v>2</v>
      </c>
      <c r="B102" s="27" t="s">
        <v>866</v>
      </c>
      <c r="C102" s="1"/>
      <c r="D102" s="1"/>
      <c r="E102" s="1"/>
      <c r="F102" s="1"/>
      <c r="G102" s="1"/>
      <c r="H102" s="1"/>
      <c r="I102" s="1"/>
      <c r="J102" s="1"/>
      <c r="K102" s="1"/>
      <c r="L102" s="3"/>
      <c r="M102" s="3"/>
      <c r="N102" s="1"/>
    </row>
    <row r="103" spans="1:14" x14ac:dyDescent="0.2">
      <c r="A103" s="6">
        <v>3</v>
      </c>
      <c r="B103" s="27" t="s">
        <v>865</v>
      </c>
      <c r="C103" s="1"/>
      <c r="D103" s="1"/>
      <c r="E103" s="1"/>
      <c r="F103" s="1"/>
      <c r="G103" s="1"/>
      <c r="H103" s="1"/>
      <c r="I103" s="1"/>
      <c r="J103" s="1"/>
      <c r="K103" s="1"/>
      <c r="L103" s="3"/>
      <c r="M103" s="3"/>
      <c r="N103" s="1"/>
    </row>
    <row r="104" spans="1:14" x14ac:dyDescent="0.2">
      <c r="A104" s="6">
        <v>4</v>
      </c>
      <c r="B104" s="27" t="s">
        <v>864</v>
      </c>
      <c r="C104" s="1"/>
      <c r="D104" s="1"/>
      <c r="E104" s="1"/>
      <c r="F104" s="1"/>
      <c r="G104" s="1"/>
      <c r="H104" s="1"/>
      <c r="I104" s="1"/>
      <c r="J104" s="1"/>
      <c r="K104" s="1"/>
      <c r="L104" s="3"/>
      <c r="M104" s="3"/>
      <c r="N104" s="1"/>
    </row>
    <row r="105" spans="1:14" x14ac:dyDescent="0.2">
      <c r="A105" s="6">
        <v>5</v>
      </c>
      <c r="B105" s="491" t="s">
        <v>995</v>
      </c>
      <c r="C105" s="468" t="str">
        <f>IF(K105=1,M105,"")</f>
        <v/>
      </c>
      <c r="D105" s="1" t="s">
        <v>995</v>
      </c>
      <c r="E105" s="1" t="s">
        <v>995</v>
      </c>
      <c r="F105" s="1"/>
      <c r="G105" s="1"/>
      <c r="H105" s="1"/>
      <c r="I105" s="1"/>
      <c r="J105" s="36" t="str">
        <f>IF(J101=1,"FOUT","JUIST")</f>
        <v>FOUT</v>
      </c>
      <c r="K105" s="5">
        <f>ABS(IF(J105="JUIST","1","0"))</f>
        <v>0</v>
      </c>
      <c r="L105" s="3">
        <v>1</v>
      </c>
      <c r="M105" s="3" t="s">
        <v>304</v>
      </c>
      <c r="N105" s="1"/>
    </row>
    <row r="106" spans="1:14" x14ac:dyDescent="0.2">
      <c r="A106" s="18"/>
      <c r="B106" s="1"/>
      <c r="C106" s="1"/>
      <c r="D106" s="1"/>
      <c r="E106" s="1"/>
      <c r="F106" s="1"/>
      <c r="G106" s="1"/>
      <c r="H106" s="1"/>
      <c r="I106" s="1"/>
      <c r="J106" s="1"/>
      <c r="K106" s="1"/>
      <c r="L106" s="3"/>
      <c r="M106" s="3"/>
      <c r="N106" s="1"/>
    </row>
    <row r="107" spans="1:14" x14ac:dyDescent="0.2">
      <c r="A107" s="18"/>
      <c r="B107" s="82" t="s">
        <v>1033</v>
      </c>
      <c r="C107" s="318" t="s">
        <v>995</v>
      </c>
      <c r="D107" s="1"/>
      <c r="E107" s="1"/>
      <c r="F107" s="1"/>
      <c r="G107" s="1"/>
      <c r="H107" s="1"/>
      <c r="I107" s="1"/>
      <c r="J107" s="1"/>
      <c r="K107" s="1"/>
      <c r="L107" s="3"/>
      <c r="M107" s="3"/>
      <c r="N107" s="1"/>
    </row>
    <row r="108" spans="1:14" x14ac:dyDescent="0.2">
      <c r="A108" s="18"/>
      <c r="B108" s="52" t="str">
        <f>J108</f>
        <v/>
      </c>
      <c r="C108" s="1"/>
      <c r="D108" s="1"/>
      <c r="E108" s="1"/>
      <c r="F108" s="1"/>
      <c r="G108" s="1"/>
      <c r="H108" s="1"/>
      <c r="I108" s="1"/>
      <c r="J108" s="5" t="str">
        <f>IF(C107="x","Het juiste antwoord is: De rol van de leidinggevende","")</f>
        <v/>
      </c>
      <c r="K108" s="1"/>
      <c r="L108" s="3"/>
      <c r="M108" s="3"/>
      <c r="N108" s="1"/>
    </row>
    <row r="109" spans="1:14" x14ac:dyDescent="0.2">
      <c r="A109" s="1"/>
      <c r="B109" s="1"/>
      <c r="C109" s="1"/>
      <c r="D109" s="1"/>
      <c r="E109" s="1"/>
      <c r="F109" s="1"/>
      <c r="G109" s="1"/>
      <c r="H109" s="1"/>
      <c r="I109" s="1"/>
      <c r="J109" s="1"/>
      <c r="K109" s="1"/>
      <c r="L109" s="3"/>
      <c r="M109" s="3"/>
      <c r="N109" s="1"/>
    </row>
    <row r="110" spans="1:14" x14ac:dyDescent="0.2">
      <c r="A110" s="14"/>
      <c r="B110" s="14"/>
      <c r="C110" s="14"/>
      <c r="D110" s="14"/>
      <c r="E110" s="14"/>
      <c r="F110" s="14"/>
      <c r="G110" s="14"/>
      <c r="H110" s="14"/>
      <c r="I110" s="14"/>
      <c r="J110" s="1"/>
      <c r="K110" s="1"/>
      <c r="L110" s="3"/>
      <c r="M110" s="3"/>
      <c r="N110" s="1"/>
    </row>
    <row r="111" spans="1:14" x14ac:dyDescent="0.2">
      <c r="A111" s="1"/>
      <c r="B111" s="1"/>
      <c r="C111" s="1"/>
      <c r="D111" s="1"/>
      <c r="E111" s="1"/>
      <c r="F111" s="1"/>
      <c r="G111" s="1"/>
      <c r="H111" s="1"/>
      <c r="I111" s="1"/>
      <c r="J111" s="1"/>
      <c r="K111" s="1"/>
      <c r="L111" s="3"/>
      <c r="M111" s="3"/>
      <c r="N111" s="1"/>
    </row>
    <row r="112" spans="1:14" x14ac:dyDescent="0.2">
      <c r="A112" s="1" t="s">
        <v>870</v>
      </c>
      <c r="B112" s="547" t="s">
        <v>2035</v>
      </c>
      <c r="C112" s="1"/>
      <c r="D112" s="1"/>
      <c r="E112" s="1"/>
      <c r="F112" s="1"/>
      <c r="G112" s="1"/>
      <c r="H112" s="1"/>
      <c r="I112" s="1"/>
      <c r="J112" s="1"/>
      <c r="K112" s="1"/>
      <c r="L112" s="3"/>
      <c r="M112" s="3"/>
      <c r="N112" s="1"/>
    </row>
    <row r="113" spans="1:14" x14ac:dyDescent="0.2">
      <c r="A113" s="1"/>
      <c r="B113" s="1" t="s">
        <v>2036</v>
      </c>
      <c r="C113" s="1"/>
      <c r="D113" s="1"/>
      <c r="E113" s="1"/>
      <c r="F113" s="1"/>
      <c r="G113" s="1"/>
      <c r="H113" s="1"/>
      <c r="I113" s="1"/>
      <c r="J113" s="1"/>
      <c r="K113" s="1"/>
      <c r="L113" s="3"/>
      <c r="M113" s="3"/>
      <c r="N113" s="1"/>
    </row>
    <row r="114" spans="1:14" x14ac:dyDescent="0.2">
      <c r="A114" s="1"/>
      <c r="B114" s="1" t="s">
        <v>869</v>
      </c>
      <c r="C114" s="1"/>
      <c r="D114" s="1"/>
      <c r="E114" s="1"/>
      <c r="F114" s="1"/>
      <c r="G114" s="1"/>
      <c r="H114" s="1"/>
      <c r="I114" s="1"/>
      <c r="J114" s="1"/>
      <c r="K114" s="1"/>
      <c r="L114" s="3"/>
      <c r="M114" s="3"/>
      <c r="N114" s="1"/>
    </row>
    <row r="115" spans="1:14" x14ac:dyDescent="0.2">
      <c r="A115" s="1"/>
      <c r="B115" s="1" t="s">
        <v>2037</v>
      </c>
      <c r="C115" s="1"/>
      <c r="D115" s="1"/>
      <c r="E115" s="1"/>
      <c r="F115" s="1"/>
      <c r="G115" s="1"/>
      <c r="H115" s="1"/>
      <c r="I115" s="1"/>
      <c r="J115" s="1"/>
      <c r="K115" s="1"/>
      <c r="L115" s="3"/>
      <c r="M115" s="3"/>
      <c r="N115" s="1"/>
    </row>
    <row r="116" spans="1:14" ht="13.5" thickBot="1" x14ac:dyDescent="0.25">
      <c r="A116" s="1"/>
      <c r="B116" s="30" t="s">
        <v>2038</v>
      </c>
      <c r="C116" s="30" t="s">
        <v>868</v>
      </c>
      <c r="E116" s="1"/>
      <c r="F116" s="1"/>
      <c r="G116" s="1"/>
      <c r="H116" s="1"/>
      <c r="I116" s="1"/>
      <c r="J116" s="1"/>
      <c r="K116" s="1"/>
      <c r="L116" s="3"/>
      <c r="M116" s="3"/>
      <c r="N116" s="1"/>
    </row>
    <row r="117" spans="1:14" ht="13.5" thickTop="1" x14ac:dyDescent="0.2">
      <c r="A117" s="1"/>
      <c r="B117" s="28" t="s">
        <v>2039</v>
      </c>
      <c r="C117" s="29" t="s">
        <v>995</v>
      </c>
      <c r="D117" s="417">
        <f>ABS(IF(C117="x",SUM(1+5),"0"))</f>
        <v>0</v>
      </c>
      <c r="E117" s="1"/>
      <c r="F117" s="1"/>
      <c r="G117" s="1"/>
      <c r="H117" s="1"/>
      <c r="I117" s="1"/>
      <c r="J117" s="1"/>
      <c r="K117" s="1"/>
      <c r="L117" s="3"/>
      <c r="M117" s="3"/>
      <c r="N117" s="1"/>
    </row>
    <row r="118" spans="1:14" x14ac:dyDescent="0.2">
      <c r="A118" s="1"/>
      <c r="B118" s="6" t="s">
        <v>2040</v>
      </c>
      <c r="C118" s="10" t="s">
        <v>995</v>
      </c>
      <c r="D118" s="417">
        <f>ABS(IF(C118="x",SUM(1+7),"0"))</f>
        <v>0</v>
      </c>
      <c r="E118" s="1"/>
      <c r="F118" s="1"/>
      <c r="G118" s="1"/>
      <c r="H118" s="1"/>
      <c r="I118" s="1"/>
      <c r="J118" s="1"/>
      <c r="K118" s="1"/>
      <c r="L118" s="3"/>
      <c r="M118" s="3"/>
      <c r="N118" s="1"/>
    </row>
    <row r="119" spans="1:14" x14ac:dyDescent="0.2">
      <c r="A119" s="1"/>
      <c r="B119" s="6" t="s">
        <v>2041</v>
      </c>
      <c r="C119" s="10" t="s">
        <v>995</v>
      </c>
      <c r="D119" s="417">
        <f>ABS(IF(C119="x",SUM(1+6),"0"))</f>
        <v>0</v>
      </c>
      <c r="E119" s="1"/>
      <c r="F119" s="1"/>
      <c r="G119" s="1"/>
      <c r="H119" s="1"/>
      <c r="I119" s="1"/>
      <c r="J119" s="1"/>
      <c r="K119" s="1"/>
      <c r="L119" s="3"/>
      <c r="M119" s="3"/>
      <c r="N119" s="1"/>
    </row>
    <row r="120" spans="1:14" x14ac:dyDescent="0.2">
      <c r="A120" s="1"/>
      <c r="B120" s="6" t="s">
        <v>2042</v>
      </c>
      <c r="C120" s="10" t="s">
        <v>995</v>
      </c>
      <c r="D120" s="417">
        <f>ABS(IF(C120="x",SUM(1+4),"0"))</f>
        <v>0</v>
      </c>
      <c r="E120" s="1"/>
      <c r="F120" s="1"/>
      <c r="G120" s="1"/>
      <c r="H120" s="1"/>
      <c r="I120" s="1"/>
      <c r="J120" s="1"/>
      <c r="K120" s="1"/>
      <c r="L120" s="3"/>
      <c r="M120" s="5" t="s">
        <v>25</v>
      </c>
      <c r="N120" s="1"/>
    </row>
    <row r="121" spans="1:14" x14ac:dyDescent="0.2">
      <c r="A121" s="1"/>
      <c r="B121" s="6" t="s">
        <v>2043</v>
      </c>
      <c r="C121" s="10" t="s">
        <v>995</v>
      </c>
      <c r="D121" s="417">
        <f>ABS(IF(C121="x",SUM(1+3),"0"))</f>
        <v>0</v>
      </c>
      <c r="E121" s="1"/>
      <c r="F121" s="1"/>
      <c r="G121" s="1"/>
      <c r="H121" s="1"/>
      <c r="I121" s="1"/>
      <c r="J121" s="1"/>
      <c r="K121" s="1"/>
      <c r="L121" s="3"/>
      <c r="M121" s="5" t="s">
        <v>995</v>
      </c>
      <c r="N121" s="1"/>
    </row>
    <row r="122" spans="1:14" x14ac:dyDescent="0.2">
      <c r="A122" s="1"/>
      <c r="B122" s="6" t="s">
        <v>2044</v>
      </c>
      <c r="C122" s="10" t="s">
        <v>995</v>
      </c>
      <c r="D122" s="417">
        <f>ABS(IF(C122="x",SUM(1+30),"0"))</f>
        <v>0</v>
      </c>
      <c r="E122" s="1"/>
      <c r="F122" s="1"/>
      <c r="G122" s="1"/>
      <c r="H122" s="1"/>
      <c r="I122" s="1"/>
      <c r="J122" s="1"/>
      <c r="K122" s="1"/>
      <c r="L122" s="3"/>
      <c r="M122" s="5">
        <v>0</v>
      </c>
      <c r="N122" s="1"/>
    </row>
    <row r="123" spans="1:14" x14ac:dyDescent="0.2">
      <c r="A123" s="1"/>
      <c r="B123" s="1"/>
      <c r="C123" s="1"/>
      <c r="D123" s="418">
        <f>SUM(D117:D122)</f>
        <v>0</v>
      </c>
      <c r="E123" s="1"/>
      <c r="F123" s="1"/>
      <c r="G123" s="1"/>
      <c r="H123" s="1"/>
      <c r="I123" s="1"/>
      <c r="K123" s="1"/>
      <c r="L123" s="3"/>
      <c r="M123" s="3"/>
      <c r="N123" s="1"/>
    </row>
    <row r="124" spans="1:14" x14ac:dyDescent="0.2">
      <c r="A124" s="1"/>
      <c r="B124" s="1"/>
      <c r="C124" s="1"/>
      <c r="D124" s="1"/>
      <c r="E124" s="1"/>
      <c r="F124" s="1"/>
      <c r="G124" s="1"/>
      <c r="H124" s="1"/>
      <c r="I124" s="1"/>
      <c r="J124" s="1"/>
      <c r="K124" s="1"/>
      <c r="L124" s="3"/>
      <c r="M124" s="3"/>
      <c r="N124" s="1"/>
    </row>
    <row r="125" spans="1:14" x14ac:dyDescent="0.2">
      <c r="A125" s="1" t="s">
        <v>870</v>
      </c>
      <c r="B125" s="1" t="s">
        <v>1077</v>
      </c>
      <c r="C125" s="1"/>
      <c r="D125" s="1"/>
      <c r="E125" s="1"/>
      <c r="F125" s="1"/>
      <c r="G125" s="1"/>
      <c r="H125" s="1"/>
      <c r="I125" s="1"/>
      <c r="J125" s="1"/>
      <c r="K125" s="1"/>
      <c r="L125" s="3"/>
      <c r="M125" s="3"/>
      <c r="N125" s="1"/>
    </row>
    <row r="126" spans="1:14" ht="26.45" customHeight="1" x14ac:dyDescent="0.2">
      <c r="A126" s="1"/>
      <c r="B126" s="80" t="s">
        <v>253</v>
      </c>
      <c r="C126" s="1"/>
      <c r="D126" s="1"/>
      <c r="E126" s="1"/>
      <c r="F126" s="1"/>
      <c r="G126" s="1"/>
      <c r="H126" s="1"/>
      <c r="I126" s="1"/>
      <c r="J126" s="1"/>
      <c r="K126" s="1"/>
      <c r="L126" s="3"/>
      <c r="M126" s="3"/>
      <c r="N126" s="1"/>
    </row>
    <row r="127" spans="1:14" ht="13.5" thickBot="1" x14ac:dyDescent="0.25">
      <c r="A127" s="1"/>
      <c r="B127" s="1"/>
      <c r="C127" s="12" t="s">
        <v>1079</v>
      </c>
      <c r="D127" s="13" t="s">
        <v>319</v>
      </c>
      <c r="E127" s="222"/>
      <c r="F127" s="1"/>
      <c r="G127" s="1"/>
      <c r="H127" s="1"/>
      <c r="I127" s="1"/>
      <c r="J127" s="38" t="s">
        <v>1642</v>
      </c>
      <c r="K127" s="1"/>
      <c r="L127" s="3"/>
      <c r="M127" s="3"/>
      <c r="N127" s="1"/>
    </row>
    <row r="128" spans="1:14" ht="26.25" thickTop="1" x14ac:dyDescent="0.2">
      <c r="A128" s="26" t="s">
        <v>999</v>
      </c>
      <c r="B128" s="548" t="s">
        <v>2650</v>
      </c>
      <c r="C128" s="33">
        <v>0</v>
      </c>
      <c r="D128" s="34" t="s">
        <v>995</v>
      </c>
      <c r="E128" s="223"/>
      <c r="F128" s="1"/>
      <c r="G128" s="1"/>
      <c r="H128" s="1"/>
      <c r="I128" s="1"/>
      <c r="J128" s="31" t="str">
        <f t="shared" ref="J128:J134" si="0">IF(C128="x","JUIST","FOUT")</f>
        <v>FOUT</v>
      </c>
      <c r="K128" s="5">
        <f t="shared" ref="K128:K134" si="1">ABS(IF(J128="JUIST","1","0"))</f>
        <v>0</v>
      </c>
      <c r="L128" s="3">
        <v>1</v>
      </c>
      <c r="M128" s="3"/>
      <c r="N128" s="1"/>
    </row>
    <row r="129" spans="1:14" ht="25.5" x14ac:dyDescent="0.2">
      <c r="A129" s="26" t="s">
        <v>1000</v>
      </c>
      <c r="B129" s="22" t="s">
        <v>1078</v>
      </c>
      <c r="C129" s="24">
        <v>0</v>
      </c>
      <c r="D129" s="35">
        <v>0</v>
      </c>
      <c r="E129" s="223"/>
      <c r="F129" s="1"/>
      <c r="G129" s="1"/>
      <c r="H129" s="1"/>
      <c r="I129" s="1"/>
      <c r="J129" s="32" t="str">
        <f>IF(D129="x","JUIST","FOUT")</f>
        <v>FOUT</v>
      </c>
      <c r="K129" s="5">
        <f t="shared" si="1"/>
        <v>0</v>
      </c>
      <c r="L129" s="3">
        <v>1</v>
      </c>
      <c r="M129" s="3"/>
      <c r="N129" s="1"/>
    </row>
    <row r="130" spans="1:14" ht="25.5" x14ac:dyDescent="0.2">
      <c r="A130" s="26" t="s">
        <v>1001</v>
      </c>
      <c r="B130" s="22" t="s">
        <v>2045</v>
      </c>
      <c r="C130" s="24">
        <v>0</v>
      </c>
      <c r="D130" s="35" t="s">
        <v>995</v>
      </c>
      <c r="E130" s="223"/>
      <c r="F130" s="1"/>
      <c r="G130" s="1"/>
      <c r="H130" s="1"/>
      <c r="I130" s="1"/>
      <c r="J130" s="32" t="str">
        <f>IF(D130="x","JUIST","FOUT")</f>
        <v>FOUT</v>
      </c>
      <c r="K130" s="5">
        <f t="shared" si="1"/>
        <v>0</v>
      </c>
      <c r="L130" s="3">
        <v>1</v>
      </c>
      <c r="M130" s="3"/>
      <c r="N130" s="1"/>
    </row>
    <row r="131" spans="1:14" ht="38.25" x14ac:dyDescent="0.2">
      <c r="A131" s="26" t="s">
        <v>1002</v>
      </c>
      <c r="B131" s="22" t="s">
        <v>2046</v>
      </c>
      <c r="C131" s="24">
        <v>0</v>
      </c>
      <c r="D131" s="35" t="s">
        <v>995</v>
      </c>
      <c r="E131" s="223"/>
      <c r="F131" s="1"/>
      <c r="G131" s="1"/>
      <c r="H131" s="1"/>
      <c r="I131" s="1"/>
      <c r="J131" s="32" t="str">
        <f t="shared" si="0"/>
        <v>FOUT</v>
      </c>
      <c r="K131" s="5">
        <f t="shared" si="1"/>
        <v>0</v>
      </c>
      <c r="L131" s="3">
        <v>1</v>
      </c>
      <c r="M131" s="3"/>
      <c r="N131" s="1"/>
    </row>
    <row r="132" spans="1:14" ht="38.25" x14ac:dyDescent="0.2">
      <c r="A132" s="26" t="s">
        <v>863</v>
      </c>
      <c r="B132" s="22" t="s">
        <v>2047</v>
      </c>
      <c r="C132" s="24">
        <v>0</v>
      </c>
      <c r="D132" s="35" t="s">
        <v>995</v>
      </c>
      <c r="E132" s="223"/>
      <c r="F132" s="1"/>
      <c r="G132" s="1"/>
      <c r="H132" s="1"/>
      <c r="I132" s="1"/>
      <c r="J132" s="32" t="str">
        <f t="shared" si="0"/>
        <v>FOUT</v>
      </c>
      <c r="K132" s="5">
        <f t="shared" si="1"/>
        <v>0</v>
      </c>
      <c r="L132" s="3">
        <v>1</v>
      </c>
      <c r="M132" s="3"/>
      <c r="N132" s="1"/>
    </row>
    <row r="133" spans="1:14" ht="25.5" x14ac:dyDescent="0.2">
      <c r="A133" s="26" t="s">
        <v>1080</v>
      </c>
      <c r="B133" s="22" t="s">
        <v>1081</v>
      </c>
      <c r="C133" s="24">
        <v>0</v>
      </c>
      <c r="D133" s="35" t="s">
        <v>995</v>
      </c>
      <c r="E133" s="223"/>
      <c r="F133" s="1"/>
      <c r="G133" s="1"/>
      <c r="H133" s="1"/>
      <c r="I133" s="1"/>
      <c r="J133" s="32" t="str">
        <f>IF(D133="x","JUIST","FOUT")</f>
        <v>FOUT</v>
      </c>
      <c r="K133" s="5">
        <f t="shared" si="1"/>
        <v>0</v>
      </c>
      <c r="L133" s="3">
        <v>1</v>
      </c>
      <c r="M133" s="3"/>
      <c r="N133" s="1"/>
    </row>
    <row r="134" spans="1:14" ht="38.25" x14ac:dyDescent="0.2">
      <c r="A134" s="26" t="s">
        <v>1082</v>
      </c>
      <c r="B134" s="22" t="s">
        <v>2048</v>
      </c>
      <c r="C134" s="24">
        <v>0</v>
      </c>
      <c r="D134" s="35" t="s">
        <v>995</v>
      </c>
      <c r="E134" s="223"/>
      <c r="F134" s="1"/>
      <c r="G134" s="1"/>
      <c r="H134" s="1"/>
      <c r="I134" s="1"/>
      <c r="J134" s="32" t="str">
        <f t="shared" si="0"/>
        <v>FOUT</v>
      </c>
      <c r="K134" s="5">
        <f t="shared" si="1"/>
        <v>0</v>
      </c>
      <c r="L134" s="3">
        <v>1</v>
      </c>
      <c r="M134" s="3"/>
      <c r="N134" s="1"/>
    </row>
    <row r="135" spans="1:14" x14ac:dyDescent="0.2">
      <c r="A135" s="1"/>
      <c r="B135" s="1"/>
      <c r="C135" s="1"/>
      <c r="D135" s="1"/>
      <c r="E135" s="1"/>
      <c r="F135" s="1"/>
      <c r="G135" s="1"/>
      <c r="H135" s="1"/>
      <c r="I135" s="1"/>
      <c r="J135" s="1"/>
      <c r="K135" s="1"/>
      <c r="L135" s="3"/>
      <c r="M135" s="3"/>
      <c r="N135" s="1"/>
    </row>
    <row r="136" spans="1:14" x14ac:dyDescent="0.2">
      <c r="A136" s="14"/>
      <c r="B136" s="14"/>
      <c r="C136" s="14"/>
      <c r="D136" s="14"/>
      <c r="E136" s="14"/>
      <c r="F136" s="14"/>
      <c r="G136" s="14"/>
      <c r="H136" s="14"/>
      <c r="I136" s="14"/>
      <c r="J136" s="1"/>
      <c r="K136" s="1"/>
      <c r="L136" s="3"/>
      <c r="M136" s="3"/>
      <c r="N136" s="1"/>
    </row>
    <row r="137" spans="1:14" x14ac:dyDescent="0.2">
      <c r="A137" s="1"/>
      <c r="B137" s="1"/>
      <c r="C137" s="1"/>
      <c r="D137" s="1"/>
      <c r="E137" s="1"/>
      <c r="F137" s="1"/>
      <c r="G137" s="1"/>
      <c r="H137" s="1"/>
      <c r="I137" s="1"/>
      <c r="J137" s="1"/>
      <c r="K137" s="1"/>
      <c r="L137" s="3"/>
      <c r="M137" s="3"/>
      <c r="N137" s="1"/>
    </row>
    <row r="138" spans="1:14" x14ac:dyDescent="0.2">
      <c r="A138" s="1" t="s">
        <v>1632</v>
      </c>
      <c r="B138" s="1" t="s">
        <v>1633</v>
      </c>
      <c r="C138" s="235" t="s">
        <v>1625</v>
      </c>
      <c r="D138" s="10"/>
      <c r="E138" s="3" t="str">
        <f>J138</f>
        <v/>
      </c>
      <c r="F138" s="1"/>
      <c r="G138" s="1"/>
      <c r="H138" s="1"/>
      <c r="I138" s="1"/>
      <c r="J138" s="5" t="str">
        <f>IF(D138="c","JUIST","")</f>
        <v/>
      </c>
      <c r="K138" s="5">
        <f t="shared" ref="K138:K144" si="2">ABS(IF(J138="JUIST","1","0"))</f>
        <v>0</v>
      </c>
      <c r="L138" s="3">
        <v>1</v>
      </c>
      <c r="M138" s="3"/>
      <c r="N138" s="1"/>
    </row>
    <row r="139" spans="1:14" x14ac:dyDescent="0.2">
      <c r="A139" s="1"/>
      <c r="B139" s="1" t="s">
        <v>1634</v>
      </c>
      <c r="C139" s="6" t="s">
        <v>1626</v>
      </c>
      <c r="D139" s="10"/>
      <c r="E139" s="3" t="str">
        <f>J139</f>
        <v/>
      </c>
      <c r="F139" s="1"/>
      <c r="G139" s="1"/>
      <c r="H139" s="1"/>
      <c r="I139" s="1"/>
      <c r="J139" s="5" t="str">
        <f>IF(D139="b","JUIST","")</f>
        <v/>
      </c>
      <c r="K139" s="5">
        <f t="shared" si="2"/>
        <v>0</v>
      </c>
      <c r="L139" s="3">
        <v>1</v>
      </c>
      <c r="M139" s="3"/>
      <c r="N139" s="1"/>
    </row>
    <row r="140" spans="1:14" x14ac:dyDescent="0.2">
      <c r="A140" s="1"/>
      <c r="B140" s="1" t="s">
        <v>1635</v>
      </c>
      <c r="C140" s="6" t="s">
        <v>1627</v>
      </c>
      <c r="D140" s="10"/>
      <c r="E140" s="3" t="str">
        <f>J140</f>
        <v/>
      </c>
      <c r="F140" s="1"/>
      <c r="G140" s="1"/>
      <c r="H140" s="1"/>
      <c r="I140" s="1"/>
      <c r="J140" s="5" t="str">
        <f>IF(D140="e","JUIST","")</f>
        <v/>
      </c>
      <c r="K140" s="5">
        <f t="shared" si="2"/>
        <v>0</v>
      </c>
      <c r="L140" s="3">
        <v>1</v>
      </c>
      <c r="M140" s="3"/>
      <c r="N140" s="1"/>
    </row>
    <row r="141" spans="1:14" x14ac:dyDescent="0.2">
      <c r="A141" s="1"/>
      <c r="B141" s="1" t="s">
        <v>2049</v>
      </c>
      <c r="C141" s="6" t="s">
        <v>1628</v>
      </c>
      <c r="D141" s="10"/>
      <c r="E141" s="3" t="str">
        <f>IF(J141=2,"N.v.t.!","")</f>
        <v/>
      </c>
      <c r="F141" s="1"/>
      <c r="G141" s="1"/>
      <c r="H141" s="1"/>
      <c r="I141" s="1"/>
      <c r="J141" s="5">
        <f>TYPE(D141)</f>
        <v>1</v>
      </c>
      <c r="K141" s="5">
        <f t="shared" si="2"/>
        <v>0</v>
      </c>
      <c r="L141" s="3"/>
      <c r="M141" s="3"/>
      <c r="N141" s="1"/>
    </row>
    <row r="142" spans="1:14" x14ac:dyDescent="0.2">
      <c r="A142" s="1"/>
      <c r="B142" s="1" t="s">
        <v>1636</v>
      </c>
      <c r="C142" s="6" t="s">
        <v>1629</v>
      </c>
      <c r="D142" s="10"/>
      <c r="E142" s="3" t="str">
        <f>IF(J142=2,"n.v.t.!","")</f>
        <v/>
      </c>
      <c r="F142" s="1"/>
      <c r="G142" s="1"/>
      <c r="H142" s="1"/>
      <c r="I142" s="1"/>
      <c r="J142" s="5">
        <f>TYPE(D142)</f>
        <v>1</v>
      </c>
      <c r="K142" s="5">
        <f t="shared" si="2"/>
        <v>0</v>
      </c>
      <c r="L142" s="3"/>
      <c r="M142" s="3"/>
      <c r="N142" s="1"/>
    </row>
    <row r="143" spans="1:14" x14ac:dyDescent="0.2">
      <c r="A143" s="1"/>
      <c r="B143" s="1" t="s">
        <v>1637</v>
      </c>
      <c r="C143" s="6" t="s">
        <v>1630</v>
      </c>
      <c r="D143" s="10"/>
      <c r="E143" s="3" t="str">
        <f>J143</f>
        <v/>
      </c>
      <c r="F143" s="1"/>
      <c r="G143" s="1"/>
      <c r="H143" s="1"/>
      <c r="I143" s="1"/>
      <c r="J143" s="5" t="str">
        <f>IF(D143="d","JUIST","")</f>
        <v/>
      </c>
      <c r="K143" s="5">
        <f t="shared" si="2"/>
        <v>0</v>
      </c>
      <c r="L143" s="3">
        <v>1</v>
      </c>
      <c r="M143" s="3"/>
      <c r="N143" s="1"/>
    </row>
    <row r="144" spans="1:14" x14ac:dyDescent="0.2">
      <c r="A144" s="1"/>
      <c r="B144" s="1" t="s">
        <v>1643</v>
      </c>
      <c r="C144" s="6" t="s">
        <v>1631</v>
      </c>
      <c r="D144" s="10"/>
      <c r="E144" s="3" t="str">
        <f>J144</f>
        <v/>
      </c>
      <c r="F144" s="1"/>
      <c r="G144" s="1"/>
      <c r="H144" s="1"/>
      <c r="I144" s="1"/>
      <c r="J144" s="5" t="str">
        <f>IF(D144="a","JUIST","")</f>
        <v/>
      </c>
      <c r="K144" s="5">
        <f t="shared" si="2"/>
        <v>0</v>
      </c>
      <c r="L144" s="3">
        <v>1</v>
      </c>
      <c r="M144" s="3"/>
      <c r="N144" s="1"/>
    </row>
    <row r="145" spans="1:14" x14ac:dyDescent="0.2">
      <c r="A145" s="1"/>
      <c r="B145" s="1" t="s">
        <v>1640</v>
      </c>
      <c r="C145" s="1"/>
      <c r="D145" s="1"/>
      <c r="E145" s="1"/>
      <c r="F145" s="1"/>
      <c r="G145" s="1"/>
      <c r="H145" s="1"/>
      <c r="I145" s="1"/>
      <c r="J145" s="1"/>
      <c r="K145" s="1"/>
      <c r="L145" s="3"/>
      <c r="M145" s="3"/>
      <c r="N145" s="1"/>
    </row>
    <row r="146" spans="1:14" ht="13.5" thickBot="1" x14ac:dyDescent="0.25">
      <c r="A146" s="1"/>
      <c r="B146" s="1"/>
      <c r="C146" s="39" t="s">
        <v>1644</v>
      </c>
      <c r="D146" s="40" t="s">
        <v>1645</v>
      </c>
      <c r="E146" s="481" t="s">
        <v>995</v>
      </c>
      <c r="F146" s="1"/>
      <c r="G146" s="1"/>
      <c r="H146" s="1"/>
      <c r="I146" s="1"/>
      <c r="J146" s="5" t="str">
        <f>IF(E146="x","1","")</f>
        <v/>
      </c>
      <c r="K146" s="1"/>
      <c r="L146" s="3"/>
      <c r="M146" s="3" t="s">
        <v>973</v>
      </c>
      <c r="N146" s="1"/>
    </row>
    <row r="147" spans="1:14" ht="13.5" thickTop="1" x14ac:dyDescent="0.2">
      <c r="A147" s="1"/>
      <c r="B147" s="1" t="s">
        <v>1638</v>
      </c>
      <c r="C147" s="28" t="s">
        <v>1625</v>
      </c>
      <c r="D147" s="42" t="str">
        <f>J147</f>
        <v/>
      </c>
      <c r="E147" s="41"/>
      <c r="F147" s="1"/>
      <c r="G147" s="1"/>
      <c r="H147" s="1"/>
      <c r="I147" s="1"/>
      <c r="J147" s="44" t="str">
        <f>IF(J146="1","C","")</f>
        <v/>
      </c>
      <c r="K147" s="1"/>
      <c r="L147" s="3"/>
      <c r="M147" s="3" t="s">
        <v>475</v>
      </c>
      <c r="N147" s="1"/>
    </row>
    <row r="148" spans="1:14" x14ac:dyDescent="0.2">
      <c r="A148" s="1"/>
      <c r="B148" s="1" t="s">
        <v>1639</v>
      </c>
      <c r="C148" s="6" t="s">
        <v>1626</v>
      </c>
      <c r="D148" s="42" t="str">
        <f t="shared" ref="D148:D153" si="3">J148</f>
        <v/>
      </c>
      <c r="E148" s="1"/>
      <c r="F148" s="1"/>
      <c r="G148" s="1"/>
      <c r="H148" s="1"/>
      <c r="I148" s="1"/>
      <c r="J148" s="44" t="str">
        <f>IF(J146="1","B","")</f>
        <v/>
      </c>
      <c r="K148" s="1"/>
      <c r="L148" s="3"/>
      <c r="M148" s="3" t="s">
        <v>476</v>
      </c>
      <c r="N148" s="1"/>
    </row>
    <row r="149" spans="1:14" x14ac:dyDescent="0.2">
      <c r="A149" s="1"/>
      <c r="B149" s="1" t="s">
        <v>2050</v>
      </c>
      <c r="C149" s="6" t="s">
        <v>1627</v>
      </c>
      <c r="D149" s="42" t="str">
        <f t="shared" si="3"/>
        <v/>
      </c>
      <c r="E149" s="1"/>
      <c r="F149" s="1"/>
      <c r="G149" s="1"/>
      <c r="H149" s="1"/>
      <c r="I149" s="1"/>
      <c r="J149" s="44" t="str">
        <f>IF(J146="1","E","")</f>
        <v/>
      </c>
      <c r="K149" s="1"/>
      <c r="L149" s="3"/>
      <c r="M149" s="3" t="s">
        <v>477</v>
      </c>
      <c r="N149" s="1"/>
    </row>
    <row r="150" spans="1:14" x14ac:dyDescent="0.2">
      <c r="A150" s="1"/>
      <c r="B150" s="1" t="s">
        <v>1641</v>
      </c>
      <c r="C150" s="6" t="s">
        <v>1628</v>
      </c>
      <c r="D150" s="42" t="str">
        <f t="shared" si="3"/>
        <v/>
      </c>
      <c r="E150" s="1"/>
      <c r="F150" s="1"/>
      <c r="G150" s="1"/>
      <c r="H150" s="1"/>
      <c r="I150" s="1"/>
      <c r="J150" s="44" t="str">
        <f>IF(J146="1","N.v.t.!","")</f>
        <v/>
      </c>
      <c r="K150" s="1"/>
      <c r="L150" s="3"/>
      <c r="M150" s="3" t="s">
        <v>478</v>
      </c>
      <c r="N150" s="1"/>
    </row>
    <row r="151" spans="1:14" x14ac:dyDescent="0.2">
      <c r="A151" s="1"/>
      <c r="B151" s="81" t="s">
        <v>2051</v>
      </c>
      <c r="C151" s="6" t="s">
        <v>1629</v>
      </c>
      <c r="D151" s="42" t="str">
        <f t="shared" si="3"/>
        <v/>
      </c>
      <c r="E151" s="1"/>
      <c r="F151" s="1"/>
      <c r="G151" s="1"/>
      <c r="H151" s="1"/>
      <c r="I151" s="1"/>
      <c r="J151" s="44" t="str">
        <f>IF(J146="1","N.v.t.!","")</f>
        <v/>
      </c>
      <c r="K151" s="1"/>
      <c r="L151" s="3"/>
      <c r="M151" s="3" t="s">
        <v>479</v>
      </c>
      <c r="N151" s="1"/>
    </row>
    <row r="152" spans="1:14" x14ac:dyDescent="0.2">
      <c r="A152" s="1"/>
      <c r="B152" s="81" t="s">
        <v>1092</v>
      </c>
      <c r="C152" s="6" t="s">
        <v>1630</v>
      </c>
      <c r="D152" s="42" t="str">
        <f t="shared" si="3"/>
        <v/>
      </c>
      <c r="E152" s="1"/>
      <c r="F152" s="1"/>
      <c r="G152" s="1"/>
      <c r="H152" s="1"/>
      <c r="I152" s="1"/>
      <c r="J152" s="44" t="str">
        <f>IF(J146="1","D","")</f>
        <v/>
      </c>
      <c r="K152" s="1"/>
      <c r="L152" s="3"/>
      <c r="M152" s="3"/>
      <c r="N152" s="1"/>
    </row>
    <row r="153" spans="1:14" x14ac:dyDescent="0.2">
      <c r="A153" s="1"/>
      <c r="B153" s="81" t="s">
        <v>254</v>
      </c>
      <c r="C153" s="6" t="s">
        <v>1631</v>
      </c>
      <c r="D153" s="42" t="str">
        <f t="shared" si="3"/>
        <v/>
      </c>
      <c r="E153" s="1"/>
      <c r="F153" s="1"/>
      <c r="G153" s="1"/>
      <c r="H153" s="1"/>
      <c r="I153" s="1"/>
      <c r="J153" s="44" t="str">
        <f>IF(J146="1","A","")</f>
        <v/>
      </c>
      <c r="K153" s="1"/>
      <c r="L153" s="3"/>
      <c r="M153" s="3"/>
      <c r="N153" s="1"/>
    </row>
    <row r="154" spans="1:14" x14ac:dyDescent="0.2">
      <c r="A154" s="1"/>
      <c r="B154" s="1" t="s">
        <v>995</v>
      </c>
      <c r="C154" s="1"/>
      <c r="D154" s="1"/>
      <c r="E154" s="1"/>
      <c r="F154" s="1"/>
      <c r="G154" s="1"/>
      <c r="H154" s="1"/>
      <c r="I154" s="1"/>
      <c r="J154" s="1"/>
      <c r="K154" s="1"/>
      <c r="L154" s="3"/>
      <c r="M154" s="3"/>
      <c r="N154" s="1"/>
    </row>
    <row r="155" spans="1:14" x14ac:dyDescent="0.2">
      <c r="A155" s="14"/>
      <c r="B155" s="14"/>
      <c r="C155" s="14"/>
      <c r="D155" s="14"/>
      <c r="E155" s="14"/>
      <c r="F155" s="14"/>
      <c r="G155" s="14"/>
      <c r="H155" s="14"/>
      <c r="I155" s="14"/>
      <c r="J155" s="1"/>
      <c r="K155" s="1"/>
      <c r="L155" s="3"/>
      <c r="M155" s="3"/>
      <c r="N155" s="1"/>
    </row>
    <row r="156" spans="1:14" x14ac:dyDescent="0.2">
      <c r="A156" s="1"/>
      <c r="B156" s="1"/>
      <c r="C156" s="1"/>
      <c r="D156" s="1"/>
      <c r="E156" s="1"/>
      <c r="F156" s="1"/>
      <c r="G156" s="1"/>
      <c r="H156" s="1"/>
      <c r="I156" s="1"/>
      <c r="J156" s="1"/>
      <c r="K156" s="1"/>
      <c r="L156" s="3"/>
      <c r="M156" s="3"/>
      <c r="N156" s="1"/>
    </row>
    <row r="157" spans="1:14" x14ac:dyDescent="0.2">
      <c r="A157" s="1" t="s">
        <v>1646</v>
      </c>
      <c r="B157" s="1" t="s">
        <v>1658</v>
      </c>
      <c r="C157" s="1"/>
      <c r="D157" s="1"/>
      <c r="E157" s="1"/>
      <c r="F157" s="45" t="s">
        <v>1651</v>
      </c>
      <c r="G157" s="1"/>
      <c r="H157" s="1" t="s">
        <v>1655</v>
      </c>
      <c r="I157" s="1"/>
      <c r="J157" s="1"/>
      <c r="K157" s="1"/>
      <c r="L157" s="3"/>
      <c r="M157" s="3"/>
      <c r="N157" s="1"/>
    </row>
    <row r="158" spans="1:14" x14ac:dyDescent="0.2">
      <c r="A158" s="1"/>
      <c r="B158" s="1" t="s">
        <v>1657</v>
      </c>
      <c r="C158" s="1"/>
      <c r="D158" s="1"/>
      <c r="E158" s="46" t="s">
        <v>1010</v>
      </c>
      <c r="F158" s="1"/>
      <c r="G158" s="46" t="s">
        <v>1647</v>
      </c>
      <c r="H158" s="1"/>
      <c r="I158" s="1"/>
      <c r="J158" s="1"/>
      <c r="K158" s="1"/>
      <c r="L158" s="3"/>
      <c r="M158" s="3"/>
      <c r="N158" s="1"/>
    </row>
    <row r="159" spans="1:14" x14ac:dyDescent="0.2">
      <c r="A159" s="1"/>
      <c r="B159" s="1" t="s">
        <v>2052</v>
      </c>
      <c r="C159" s="1"/>
      <c r="D159" s="1"/>
      <c r="E159" s="1"/>
      <c r="F159" s="1"/>
      <c r="G159" s="1"/>
      <c r="H159" s="1"/>
      <c r="I159" s="1"/>
      <c r="J159" s="1"/>
      <c r="K159" s="1"/>
      <c r="L159" s="3"/>
      <c r="M159" s="3"/>
      <c r="N159" s="1"/>
    </row>
    <row r="160" spans="1:14" x14ac:dyDescent="0.2">
      <c r="A160" s="1"/>
      <c r="B160" s="81" t="s">
        <v>884</v>
      </c>
      <c r="C160" s="1"/>
      <c r="D160" s="1"/>
      <c r="E160" s="1"/>
      <c r="F160" s="1"/>
      <c r="G160" s="1"/>
      <c r="H160" s="1"/>
      <c r="I160" s="1"/>
      <c r="J160" s="1"/>
      <c r="K160" s="1"/>
      <c r="L160" s="3"/>
      <c r="M160" s="3"/>
      <c r="N160" s="1"/>
    </row>
    <row r="161" spans="1:14" x14ac:dyDescent="0.2">
      <c r="A161" s="1"/>
      <c r="B161" s="81" t="s">
        <v>895</v>
      </c>
      <c r="C161" s="1"/>
      <c r="D161" s="45" t="s">
        <v>1650</v>
      </c>
      <c r="E161" s="1"/>
      <c r="F161" s="47"/>
      <c r="G161" s="1"/>
      <c r="H161" s="45" t="s">
        <v>1652</v>
      </c>
      <c r="I161" s="1"/>
      <c r="J161" s="1"/>
      <c r="K161" s="1"/>
      <c r="L161" s="3"/>
      <c r="M161" s="3"/>
      <c r="N161" s="1"/>
    </row>
    <row r="162" spans="1:14" x14ac:dyDescent="0.2">
      <c r="A162" s="1"/>
      <c r="B162" s="2"/>
      <c r="C162" s="1"/>
      <c r="D162" s="46" t="s">
        <v>1656</v>
      </c>
      <c r="E162" s="1"/>
      <c r="F162" s="1"/>
      <c r="G162" s="1"/>
      <c r="H162" s="46" t="s">
        <v>1648</v>
      </c>
      <c r="I162" s="1"/>
      <c r="J162" s="1"/>
      <c r="K162" s="1"/>
      <c r="L162" s="3"/>
      <c r="M162" s="3"/>
      <c r="N162" s="1"/>
    </row>
    <row r="163" spans="1:14" x14ac:dyDescent="0.2">
      <c r="A163" s="1"/>
      <c r="B163" s="10" t="s">
        <v>995</v>
      </c>
      <c r="C163" s="1" t="str">
        <f>J164</f>
        <v/>
      </c>
      <c r="D163" s="1"/>
      <c r="E163" s="1"/>
      <c r="F163" s="1"/>
      <c r="G163" s="1"/>
      <c r="H163" s="1"/>
      <c r="I163" s="1"/>
      <c r="J163" s="5" t="str">
        <f>IF(B163="regelkring","Juist","FOUT")</f>
        <v>FOUT</v>
      </c>
      <c r="K163" s="5">
        <f>ABS(IF(J163="JUIST","1","0"))</f>
        <v>0</v>
      </c>
      <c r="L163" s="3">
        <v>1</v>
      </c>
      <c r="M163" s="3"/>
      <c r="N163" s="1"/>
    </row>
    <row r="164" spans="1:14" x14ac:dyDescent="0.2">
      <c r="A164" s="1"/>
      <c r="B164" s="1" t="s">
        <v>995</v>
      </c>
      <c r="C164" s="1"/>
      <c r="D164" s="1"/>
      <c r="E164" s="45" t="s">
        <v>1654</v>
      </c>
      <c r="F164" s="1"/>
      <c r="G164" s="45" t="s">
        <v>1653</v>
      </c>
      <c r="H164" s="1"/>
      <c r="I164" s="1"/>
      <c r="J164" s="5" t="str">
        <f>IF(B163="beheersingsproces","Ook wel juist","")</f>
        <v/>
      </c>
      <c r="K164" s="5">
        <f>ABS(IF(J164="Ook wel JUIST","1","0"))</f>
        <v>0</v>
      </c>
      <c r="L164" s="3"/>
      <c r="M164" s="3"/>
      <c r="N164" s="1"/>
    </row>
    <row r="165" spans="1:14" x14ac:dyDescent="0.2">
      <c r="A165" s="1"/>
      <c r="B165" s="82" t="s">
        <v>1033</v>
      </c>
      <c r="C165" s="318" t="s">
        <v>995</v>
      </c>
      <c r="D165" s="1"/>
      <c r="E165" s="1"/>
      <c r="F165" s="3" t="s">
        <v>1649</v>
      </c>
      <c r="G165" s="1"/>
      <c r="H165" s="1"/>
      <c r="I165" s="1"/>
      <c r="J165" s="6" t="str">
        <f>IF(C165="x","Regelkring of evt. Beheersingsproces","")</f>
        <v/>
      </c>
      <c r="K165" s="1"/>
      <c r="L165" s="3"/>
      <c r="M165" s="3"/>
      <c r="N165" s="1"/>
    </row>
    <row r="166" spans="1:14" x14ac:dyDescent="0.2">
      <c r="A166" s="1"/>
      <c r="B166" s="52" t="str">
        <f>J165</f>
        <v/>
      </c>
      <c r="C166" s="1"/>
      <c r="D166" s="1"/>
      <c r="E166" s="1"/>
      <c r="F166" s="1"/>
      <c r="G166" s="1"/>
      <c r="H166" s="1"/>
      <c r="I166" s="1"/>
      <c r="J166" s="1"/>
      <c r="K166" s="1"/>
      <c r="L166" s="3"/>
      <c r="M166" s="3"/>
      <c r="N166" s="1"/>
    </row>
    <row r="167" spans="1:14" x14ac:dyDescent="0.2">
      <c r="A167" s="1"/>
      <c r="B167" s="1"/>
      <c r="C167" s="1"/>
      <c r="D167" s="1"/>
      <c r="E167" s="1"/>
      <c r="F167" s="1"/>
      <c r="G167" s="1"/>
      <c r="H167" s="1"/>
      <c r="I167" s="1"/>
      <c r="J167" s="1"/>
      <c r="K167" s="1"/>
      <c r="L167" s="3"/>
      <c r="M167" s="3"/>
      <c r="N167" s="1"/>
    </row>
    <row r="168" spans="1:14" x14ac:dyDescent="0.2">
      <c r="A168" s="14"/>
      <c r="B168" s="14"/>
      <c r="C168" s="14"/>
      <c r="D168" s="14"/>
      <c r="E168" s="14"/>
      <c r="F168" s="14"/>
      <c r="G168" s="14"/>
      <c r="H168" s="14"/>
      <c r="I168" s="14"/>
      <c r="J168" s="1"/>
      <c r="K168" s="1"/>
      <c r="L168" s="3"/>
      <c r="M168" s="3"/>
      <c r="N168" s="1"/>
    </row>
    <row r="169" spans="1:14" x14ac:dyDescent="0.2">
      <c r="A169" s="1"/>
      <c r="B169" s="1"/>
      <c r="C169" s="1"/>
      <c r="D169" s="1"/>
      <c r="E169" s="1"/>
      <c r="F169" s="1"/>
      <c r="G169" s="1"/>
      <c r="H169" s="1"/>
      <c r="I169" s="1"/>
      <c r="J169" s="1"/>
      <c r="K169" s="1"/>
      <c r="L169" s="3"/>
      <c r="M169" s="3"/>
      <c r="N169" s="1"/>
    </row>
    <row r="170" spans="1:14" x14ac:dyDescent="0.2">
      <c r="A170" s="1" t="s">
        <v>1659</v>
      </c>
      <c r="B170" s="1" t="s">
        <v>1698</v>
      </c>
      <c r="C170" s="1"/>
      <c r="D170" s="1"/>
      <c r="E170" s="1"/>
      <c r="F170" s="1"/>
      <c r="G170" s="1"/>
      <c r="H170" s="1"/>
      <c r="I170" s="1"/>
      <c r="J170" s="1"/>
      <c r="K170" s="1"/>
      <c r="L170" s="3"/>
      <c r="M170" s="3"/>
      <c r="N170" s="1"/>
    </row>
    <row r="171" spans="1:14" x14ac:dyDescent="0.2">
      <c r="A171" s="1"/>
      <c r="B171" s="1" t="s">
        <v>881</v>
      </c>
      <c r="C171" s="1"/>
      <c r="D171" s="1"/>
      <c r="E171" s="1"/>
      <c r="F171" s="1"/>
      <c r="G171" s="1"/>
      <c r="H171" s="1"/>
      <c r="I171" s="1"/>
      <c r="J171" s="1"/>
      <c r="K171" s="1"/>
      <c r="L171" s="3"/>
      <c r="M171" s="3"/>
      <c r="N171" s="1"/>
    </row>
    <row r="172" spans="1:14" x14ac:dyDescent="0.2">
      <c r="A172" s="1"/>
      <c r="B172" s="80" t="s">
        <v>1037</v>
      </c>
      <c r="C172" s="1"/>
      <c r="D172" s="1"/>
      <c r="E172" s="1"/>
      <c r="F172" s="1"/>
      <c r="G172" s="1"/>
      <c r="H172" s="1"/>
      <c r="I172" s="1"/>
      <c r="J172" s="1"/>
      <c r="K172" s="1"/>
      <c r="L172" s="3"/>
      <c r="M172" s="3"/>
      <c r="N172" s="1"/>
    </row>
    <row r="173" spans="1:14" x14ac:dyDescent="0.2">
      <c r="A173" s="1"/>
      <c r="B173" s="81" t="s">
        <v>895</v>
      </c>
      <c r="C173" s="1"/>
      <c r="D173" s="1"/>
      <c r="E173" s="1"/>
      <c r="F173" s="1"/>
      <c r="G173" s="1"/>
      <c r="H173" s="1"/>
      <c r="I173" s="1"/>
      <c r="J173" s="1"/>
      <c r="K173" s="1"/>
      <c r="L173" s="3"/>
      <c r="M173" s="3"/>
      <c r="N173" s="1"/>
    </row>
    <row r="174" spans="1:14" x14ac:dyDescent="0.2">
      <c r="A174" s="1"/>
      <c r="B174" s="1"/>
      <c r="C174" s="1"/>
      <c r="D174" s="1"/>
      <c r="E174" s="81" t="s">
        <v>268</v>
      </c>
      <c r="F174" s="1"/>
      <c r="G174" s="1"/>
      <c r="H174" s="1"/>
      <c r="I174" s="1"/>
      <c r="J174" s="1"/>
      <c r="K174" s="1"/>
      <c r="L174" s="3"/>
      <c r="M174" s="3"/>
      <c r="N174" s="1"/>
    </row>
    <row r="175" spans="1:14" x14ac:dyDescent="0.2">
      <c r="A175" s="26" t="s">
        <v>999</v>
      </c>
      <c r="B175" s="22" t="s">
        <v>882</v>
      </c>
      <c r="C175" s="442" t="s">
        <v>995</v>
      </c>
      <c r="D175" s="37" t="str">
        <f>J175</f>
        <v/>
      </c>
      <c r="E175" s="1" t="s">
        <v>269</v>
      </c>
      <c r="F175" s="1"/>
      <c r="G175" s="1"/>
      <c r="H175" s="1"/>
      <c r="I175" s="1"/>
      <c r="J175" s="5" t="str">
        <f>IF(C175="x","FOUT","")</f>
        <v/>
      </c>
      <c r="K175" s="5">
        <f>ABS(IF(J175="JUIST","1","0"))</f>
        <v>0</v>
      </c>
      <c r="L175" s="3"/>
      <c r="M175" s="3"/>
      <c r="N175" s="1"/>
    </row>
    <row r="176" spans="1:14" x14ac:dyDescent="0.2">
      <c r="A176" s="26" t="s">
        <v>1000</v>
      </c>
      <c r="B176" s="22" t="s">
        <v>883</v>
      </c>
      <c r="C176" s="442" t="s">
        <v>995</v>
      </c>
      <c r="D176" s="37" t="str">
        <f>J176</f>
        <v/>
      </c>
      <c r="E176" t="s">
        <v>270</v>
      </c>
      <c r="F176" s="1"/>
      <c r="G176" s="1"/>
      <c r="H176" s="1"/>
      <c r="I176" s="1"/>
      <c r="J176" s="5" t="str">
        <f>IF(C176="x","JUIST","")</f>
        <v/>
      </c>
      <c r="K176" s="5">
        <f>ABS(IF(J176="JUIST","1","0"))</f>
        <v>0</v>
      </c>
      <c r="L176" s="3">
        <v>1</v>
      </c>
      <c r="M176" s="3"/>
      <c r="N176" s="1"/>
    </row>
    <row r="177" spans="1:14" ht="27.75" customHeight="1" x14ac:dyDescent="0.2">
      <c r="A177" s="26" t="s">
        <v>1001</v>
      </c>
      <c r="B177" s="22" t="s">
        <v>2053</v>
      </c>
      <c r="C177" s="24" t="s">
        <v>995</v>
      </c>
      <c r="D177" s="37" t="str">
        <f>J177</f>
        <v/>
      </c>
      <c r="E177" s="2" t="s">
        <v>271</v>
      </c>
      <c r="F177" s="1"/>
      <c r="G177" s="1"/>
      <c r="H177" s="1"/>
      <c r="I177" s="1"/>
      <c r="J177" s="5" t="str">
        <f>IF(C177="x","FOUT","")</f>
        <v/>
      </c>
      <c r="K177" s="5">
        <f>ABS(IF(J177="JUIST","1","0"))</f>
        <v>0</v>
      </c>
      <c r="L177" s="3"/>
      <c r="M177" s="3"/>
      <c r="N177" s="1"/>
    </row>
    <row r="178" spans="1:14" ht="25.5" x14ac:dyDescent="0.2">
      <c r="A178" s="26" t="s">
        <v>1002</v>
      </c>
      <c r="B178" s="22" t="s">
        <v>2054</v>
      </c>
      <c r="C178" s="442" t="s">
        <v>995</v>
      </c>
      <c r="D178" s="37" t="str">
        <f>J178</f>
        <v/>
      </c>
      <c r="E178" s="2" t="s">
        <v>272</v>
      </c>
      <c r="F178" s="1"/>
      <c r="G178" s="1"/>
      <c r="H178" s="1"/>
      <c r="I178" s="1"/>
      <c r="J178" s="5" t="str">
        <f>IF(C178="x","FOUT","")</f>
        <v/>
      </c>
      <c r="K178" s="5">
        <f>ABS(IF(J178="JUIST","1","0"))</f>
        <v>0</v>
      </c>
      <c r="L178" s="3"/>
      <c r="M178" s="3"/>
      <c r="N178" s="1"/>
    </row>
    <row r="179" spans="1:14" x14ac:dyDescent="0.2">
      <c r="A179" s="1"/>
      <c r="B179" s="1"/>
      <c r="C179" s="1"/>
      <c r="D179" s="1"/>
      <c r="E179" s="1" t="s">
        <v>273</v>
      </c>
      <c r="F179" s="1"/>
      <c r="G179" s="1"/>
      <c r="H179" s="1"/>
      <c r="I179" s="1"/>
      <c r="J179" s="1"/>
      <c r="K179" s="1"/>
      <c r="L179" s="3"/>
      <c r="M179" s="3"/>
      <c r="N179" s="1"/>
    </row>
    <row r="180" spans="1:14" x14ac:dyDescent="0.2">
      <c r="A180" s="1"/>
      <c r="B180" s="82" t="s">
        <v>1033</v>
      </c>
      <c r="C180" s="318" t="s">
        <v>995</v>
      </c>
      <c r="D180" s="1"/>
      <c r="E180" s="1"/>
      <c r="F180" s="1"/>
      <c r="G180" s="1"/>
      <c r="H180" s="1"/>
      <c r="I180" s="1"/>
      <c r="J180" s="1"/>
      <c r="K180" s="1"/>
      <c r="L180" s="3"/>
      <c r="M180" s="3"/>
      <c r="N180" s="1"/>
    </row>
    <row r="181" spans="1:14" x14ac:dyDescent="0.2">
      <c r="A181" s="1"/>
      <c r="B181" s="52" t="str">
        <f>J181</f>
        <v/>
      </c>
      <c r="C181" s="1"/>
      <c r="D181" s="1"/>
      <c r="E181" s="1"/>
      <c r="F181" s="1"/>
      <c r="G181" s="1"/>
      <c r="H181" s="1"/>
      <c r="I181" s="1"/>
      <c r="J181" s="5" t="str">
        <f>IF(C180="x","Het juiste antwoord is: B","")</f>
        <v/>
      </c>
      <c r="K181" s="1"/>
      <c r="L181" s="3"/>
      <c r="M181" s="3"/>
      <c r="N181" s="1"/>
    </row>
    <row r="182" spans="1:14" x14ac:dyDescent="0.2">
      <c r="A182" s="1"/>
      <c r="B182" s="1"/>
      <c r="C182" s="1"/>
      <c r="D182" s="1"/>
      <c r="E182" s="1"/>
      <c r="F182" s="1"/>
      <c r="G182" s="1"/>
      <c r="H182" s="1"/>
      <c r="I182" s="1"/>
      <c r="J182" s="1"/>
      <c r="K182" s="1"/>
      <c r="L182" s="3"/>
      <c r="M182" s="3"/>
      <c r="N182" s="1"/>
    </row>
    <row r="183" spans="1:14" x14ac:dyDescent="0.2">
      <c r="A183" s="14"/>
      <c r="B183" s="14"/>
      <c r="C183" s="14"/>
      <c r="D183" s="14"/>
      <c r="E183" s="14"/>
      <c r="F183" s="14"/>
      <c r="G183" s="14"/>
      <c r="H183" s="14"/>
      <c r="I183" s="14"/>
      <c r="J183" s="1"/>
      <c r="K183" s="1"/>
      <c r="L183" s="3"/>
      <c r="M183" s="3"/>
      <c r="N183" s="1"/>
    </row>
    <row r="184" spans="1:14" x14ac:dyDescent="0.2">
      <c r="A184" s="1"/>
      <c r="B184" s="1"/>
      <c r="C184" s="1"/>
      <c r="D184" s="1"/>
      <c r="E184" s="1"/>
      <c r="F184" s="1"/>
      <c r="G184" s="1"/>
      <c r="H184" s="1"/>
      <c r="I184" s="1"/>
      <c r="J184" s="1"/>
      <c r="K184" s="1"/>
      <c r="L184" s="3"/>
      <c r="M184" s="3"/>
      <c r="N184" s="1"/>
    </row>
    <row r="185" spans="1:14" ht="13.5" thickBot="1" x14ac:dyDescent="0.25">
      <c r="A185" s="1" t="s">
        <v>885</v>
      </c>
      <c r="B185" s="1" t="s">
        <v>2055</v>
      </c>
      <c r="C185" s="30" t="s">
        <v>893</v>
      </c>
      <c r="D185" s="30" t="s">
        <v>894</v>
      </c>
      <c r="E185" s="1"/>
      <c r="F185" s="1"/>
      <c r="G185" s="30" t="s">
        <v>893</v>
      </c>
      <c r="H185" s="30" t="s">
        <v>896</v>
      </c>
      <c r="I185" s="1"/>
      <c r="J185" s="1"/>
      <c r="K185" s="1"/>
      <c r="L185" s="3"/>
      <c r="M185" s="3"/>
      <c r="N185" s="1"/>
    </row>
    <row r="186" spans="1:14" ht="13.5" thickTop="1" x14ac:dyDescent="0.2">
      <c r="A186" s="1"/>
      <c r="B186" s="67" t="s">
        <v>2651</v>
      </c>
      <c r="C186" s="28" t="s">
        <v>889</v>
      </c>
      <c r="D186" s="492" t="s">
        <v>995</v>
      </c>
      <c r="E186" s="1" t="s">
        <v>995</v>
      </c>
      <c r="F186" s="1"/>
      <c r="G186" s="28" t="s">
        <v>889</v>
      </c>
      <c r="H186" s="49" t="str">
        <f>J191</f>
        <v/>
      </c>
      <c r="I186" s="1"/>
      <c r="J186" s="5" t="str">
        <f>IF(D186="S","JUIST","FOUT")</f>
        <v>FOUT</v>
      </c>
      <c r="K186" s="5">
        <f>ABS(IF(J186="JUIST","1","0"))</f>
        <v>0</v>
      </c>
      <c r="L186" s="3">
        <v>1</v>
      </c>
      <c r="M186" s="3"/>
      <c r="N186" s="1"/>
    </row>
    <row r="187" spans="1:14" x14ac:dyDescent="0.2">
      <c r="A187" s="1"/>
      <c r="B187" s="1" t="s">
        <v>886</v>
      </c>
      <c r="C187" s="6" t="s">
        <v>888</v>
      </c>
      <c r="D187" s="318" t="s">
        <v>995</v>
      </c>
      <c r="E187" s="1"/>
      <c r="F187" s="1"/>
      <c r="G187" s="6" t="s">
        <v>888</v>
      </c>
      <c r="H187" s="50" t="str">
        <f>J192</f>
        <v/>
      </c>
      <c r="I187" s="1"/>
      <c r="J187" s="5" t="str">
        <f>IF(D187="V","JUIST","FOUT")</f>
        <v>FOUT</v>
      </c>
      <c r="K187" s="5">
        <f>ABS(IF(J187="JUIST","1","0"))</f>
        <v>0</v>
      </c>
      <c r="L187" s="3">
        <v>1</v>
      </c>
      <c r="M187" s="3"/>
      <c r="N187" s="1"/>
    </row>
    <row r="188" spans="1:14" x14ac:dyDescent="0.2">
      <c r="A188" s="1"/>
      <c r="B188" s="81" t="s">
        <v>891</v>
      </c>
      <c r="C188" s="6" t="s">
        <v>890</v>
      </c>
      <c r="D188" s="318" t="s">
        <v>995</v>
      </c>
      <c r="E188" s="1"/>
      <c r="F188" s="1"/>
      <c r="G188" s="6" t="s">
        <v>890</v>
      </c>
      <c r="H188" s="50" t="str">
        <f>J193</f>
        <v/>
      </c>
      <c r="I188" s="1"/>
      <c r="J188" s="5" t="str">
        <f>IF(D188="D","JUIST","FOUT")</f>
        <v>FOUT</v>
      </c>
      <c r="K188" s="5">
        <f>ABS(IF(J188="JUIST","1","0"))</f>
        <v>0</v>
      </c>
      <c r="L188" s="3">
        <v>1</v>
      </c>
      <c r="M188" s="3"/>
      <c r="N188" s="1"/>
    </row>
    <row r="189" spans="1:14" x14ac:dyDescent="0.2">
      <c r="A189" s="1"/>
      <c r="B189" s="81" t="s">
        <v>892</v>
      </c>
      <c r="C189" s="6" t="s">
        <v>887</v>
      </c>
      <c r="D189" s="318" t="s">
        <v>995</v>
      </c>
      <c r="E189" s="1"/>
      <c r="G189" s="6" t="s">
        <v>887</v>
      </c>
      <c r="H189" s="50" t="str">
        <f>J194</f>
        <v/>
      </c>
      <c r="I189" s="1"/>
      <c r="J189" s="5" t="str">
        <f>IF(D189="M","JUIST","FOUT")</f>
        <v>FOUT</v>
      </c>
      <c r="K189" s="5">
        <f>ABS(IF(J189="JUIST","1","0"))</f>
        <v>0</v>
      </c>
      <c r="L189" s="3">
        <v>1</v>
      </c>
      <c r="M189" s="3"/>
      <c r="N189" s="1"/>
    </row>
    <row r="190" spans="1:14" x14ac:dyDescent="0.2">
      <c r="A190" s="1"/>
      <c r="B190" s="81" t="s">
        <v>255</v>
      </c>
      <c r="C190" s="1"/>
      <c r="D190" s="1"/>
      <c r="E190" s="1"/>
      <c r="F190" s="1"/>
      <c r="G190" s="1"/>
      <c r="H190" s="1"/>
      <c r="I190" s="1"/>
      <c r="J190" s="1"/>
      <c r="K190" s="1"/>
      <c r="L190" s="3"/>
      <c r="M190" s="3"/>
      <c r="N190" s="1"/>
    </row>
    <row r="191" spans="1:14" x14ac:dyDescent="0.2">
      <c r="A191" s="1"/>
      <c r="B191" s="81" t="s">
        <v>895</v>
      </c>
      <c r="C191" s="1"/>
      <c r="D191" s="1"/>
      <c r="E191" s="1"/>
      <c r="F191" s="1"/>
      <c r="G191" s="1"/>
      <c r="H191" s="1"/>
      <c r="I191" s="1"/>
      <c r="J191" s="5" t="str">
        <f>IF(C193="x","S","")</f>
        <v/>
      </c>
      <c r="K191" s="1"/>
      <c r="L191" s="3"/>
      <c r="M191" s="3"/>
      <c r="N191" s="1"/>
    </row>
    <row r="192" spans="1:14" x14ac:dyDescent="0.2">
      <c r="A192" s="1"/>
      <c r="B192" s="1"/>
      <c r="C192" s="1"/>
      <c r="D192" s="1"/>
      <c r="E192" s="1"/>
      <c r="F192" s="1"/>
      <c r="G192" s="1"/>
      <c r="H192" s="1"/>
      <c r="I192" s="1"/>
      <c r="J192" s="5" t="str">
        <f>IF(C193="x","V","")</f>
        <v/>
      </c>
      <c r="K192" s="1"/>
      <c r="L192" s="3"/>
      <c r="M192" s="5" t="s">
        <v>25</v>
      </c>
      <c r="N192" s="1"/>
    </row>
    <row r="193" spans="1:14" x14ac:dyDescent="0.2">
      <c r="A193" s="1"/>
      <c r="B193" s="82" t="s">
        <v>1033</v>
      </c>
      <c r="C193" s="318" t="s">
        <v>995</v>
      </c>
      <c r="D193" s="1"/>
      <c r="E193" s="1"/>
      <c r="F193" s="1"/>
      <c r="G193" s="1"/>
      <c r="H193" s="1"/>
      <c r="I193" s="1"/>
      <c r="J193" s="5" t="str">
        <f>IF(C193="x","D","")</f>
        <v/>
      </c>
      <c r="K193" s="1"/>
      <c r="L193" s="3"/>
      <c r="M193" s="5" t="s">
        <v>995</v>
      </c>
      <c r="N193" s="1"/>
    </row>
    <row r="194" spans="1:14" x14ac:dyDescent="0.2">
      <c r="A194" s="1"/>
      <c r="B194" s="48" t="s">
        <v>995</v>
      </c>
      <c r="C194" s="1" t="s">
        <v>995</v>
      </c>
      <c r="D194" s="1"/>
      <c r="E194" s="1"/>
      <c r="F194" s="1"/>
      <c r="G194" s="1"/>
      <c r="H194" s="1"/>
      <c r="I194" s="1"/>
      <c r="J194" s="5" t="str">
        <f>IF(C193="x","M","")</f>
        <v/>
      </c>
      <c r="K194" s="1"/>
      <c r="L194" s="3"/>
      <c r="M194" s="5">
        <v>0</v>
      </c>
      <c r="N194" s="1"/>
    </row>
    <row r="195" spans="1:14" x14ac:dyDescent="0.2">
      <c r="A195" s="14"/>
      <c r="B195" s="14"/>
      <c r="C195" s="14"/>
      <c r="D195" s="14"/>
      <c r="E195" s="14"/>
      <c r="F195" s="14"/>
      <c r="G195" s="14"/>
      <c r="H195" s="14"/>
      <c r="I195" s="14"/>
      <c r="J195" s="1"/>
      <c r="K195" s="1"/>
      <c r="L195" s="3"/>
      <c r="M195" s="3"/>
      <c r="N195" s="1"/>
    </row>
    <row r="196" spans="1:14" x14ac:dyDescent="0.2">
      <c r="A196" s="1"/>
      <c r="B196" s="1"/>
      <c r="C196" s="1"/>
      <c r="D196" s="1"/>
      <c r="E196" s="1"/>
      <c r="F196" s="1"/>
      <c r="G196" s="1"/>
      <c r="H196" s="1"/>
      <c r="I196" s="1"/>
      <c r="J196" s="1"/>
      <c r="K196" s="1"/>
      <c r="L196" s="3"/>
      <c r="M196" s="3"/>
      <c r="N196" s="1"/>
    </row>
    <row r="197" spans="1:14" x14ac:dyDescent="0.2">
      <c r="A197" s="1" t="s">
        <v>897</v>
      </c>
      <c r="B197" s="1" t="s">
        <v>2056</v>
      </c>
      <c r="C197" s="6" t="s">
        <v>901</v>
      </c>
      <c r="D197" s="6" t="s">
        <v>905</v>
      </c>
      <c r="E197" s="1"/>
      <c r="F197" s="1"/>
      <c r="G197" s="1"/>
      <c r="H197" s="1"/>
      <c r="I197" s="1"/>
      <c r="J197" s="1"/>
      <c r="K197" s="1" t="s">
        <v>995</v>
      </c>
      <c r="L197" s="3"/>
      <c r="M197" s="3"/>
      <c r="N197" s="1"/>
    </row>
    <row r="198" spans="1:14" x14ac:dyDescent="0.2">
      <c r="A198" s="1"/>
      <c r="B198" s="1" t="s">
        <v>898</v>
      </c>
      <c r="C198" s="6" t="s">
        <v>899</v>
      </c>
      <c r="D198" s="442" t="s">
        <v>995</v>
      </c>
      <c r="E198" s="37" t="str">
        <f>J198</f>
        <v/>
      </c>
      <c r="F198" s="1"/>
      <c r="G198" s="1"/>
      <c r="H198" s="1"/>
      <c r="I198" s="1"/>
      <c r="J198" s="5" t="str">
        <f>IF(D198="x","FOUT","")</f>
        <v/>
      </c>
      <c r="K198" s="5">
        <f>ABS(IF(J198="JUIST","1","0"))</f>
        <v>0</v>
      </c>
      <c r="L198" s="3"/>
      <c r="M198" s="3"/>
      <c r="N198" s="1"/>
    </row>
    <row r="199" spans="1:14" x14ac:dyDescent="0.2">
      <c r="A199" s="1"/>
      <c r="B199" s="1" t="s">
        <v>2057</v>
      </c>
      <c r="C199" s="6" t="s">
        <v>902</v>
      </c>
      <c r="D199" s="442" t="s">
        <v>995</v>
      </c>
      <c r="E199" s="37" t="str">
        <f>J199</f>
        <v/>
      </c>
      <c r="F199" s="1"/>
      <c r="G199" s="1"/>
      <c r="H199" s="1"/>
      <c r="I199" s="1"/>
      <c r="J199" s="5" t="str">
        <f>IF(D199="x","FOUT","")</f>
        <v/>
      </c>
      <c r="K199" s="5">
        <f>ABS(IF(J199="JUIST","1","0"))</f>
        <v>0</v>
      </c>
      <c r="L199" s="3"/>
      <c r="M199" s="3"/>
      <c r="N199" s="1"/>
    </row>
    <row r="200" spans="1:14" x14ac:dyDescent="0.2">
      <c r="A200" s="1"/>
      <c r="B200" s="1" t="s">
        <v>900</v>
      </c>
      <c r="C200" s="6" t="s">
        <v>903</v>
      </c>
      <c r="D200" s="442" t="s">
        <v>995</v>
      </c>
      <c r="E200" s="37" t="str">
        <f>J200</f>
        <v/>
      </c>
      <c r="F200" s="1"/>
      <c r="G200" s="1"/>
      <c r="H200" s="1"/>
      <c r="I200" s="1"/>
      <c r="J200" s="5" t="str">
        <f>IF(D200="x","JUIST","")</f>
        <v/>
      </c>
      <c r="K200" s="5">
        <f>ABS(IF(J200="JUIST","1","0"))</f>
        <v>0</v>
      </c>
      <c r="L200" s="3">
        <v>1</v>
      </c>
      <c r="M200" s="3"/>
      <c r="N200" s="1"/>
    </row>
    <row r="201" spans="1:14" x14ac:dyDescent="0.2">
      <c r="A201" s="1"/>
      <c r="B201" s="80" t="s">
        <v>906</v>
      </c>
      <c r="C201" s="6" t="s">
        <v>904</v>
      </c>
      <c r="D201" s="442" t="s">
        <v>995</v>
      </c>
      <c r="E201" s="37" t="str">
        <f>J201</f>
        <v/>
      </c>
      <c r="F201" s="1"/>
      <c r="G201" s="1"/>
      <c r="H201" s="1"/>
      <c r="I201" s="1"/>
      <c r="J201" s="5" t="str">
        <f>IF(D201="x","FOUT","")</f>
        <v/>
      </c>
      <c r="K201" s="5">
        <f>ABS(IF(J201="JUIST","1","0"))</f>
        <v>0</v>
      </c>
      <c r="L201" s="3"/>
      <c r="M201" s="3"/>
      <c r="N201" s="1"/>
    </row>
    <row r="202" spans="1:14" x14ac:dyDescent="0.2">
      <c r="A202" s="1"/>
      <c r="B202" s="81" t="s">
        <v>895</v>
      </c>
      <c r="C202" s="1"/>
      <c r="D202" s="1"/>
      <c r="E202" s="1"/>
      <c r="F202" s="1"/>
      <c r="G202" s="1"/>
      <c r="H202" s="1"/>
      <c r="I202" s="1"/>
      <c r="J202" s="1"/>
      <c r="K202" s="1"/>
      <c r="L202" s="3"/>
      <c r="M202" s="3"/>
      <c r="N202" s="1"/>
    </row>
    <row r="203" spans="1:14" x14ac:dyDescent="0.2">
      <c r="A203" s="1"/>
      <c r="B203" s="1"/>
      <c r="C203" s="1"/>
      <c r="D203" s="1"/>
      <c r="E203" s="1"/>
      <c r="F203" s="1"/>
      <c r="G203" s="1"/>
      <c r="H203" s="1"/>
      <c r="I203" s="1"/>
      <c r="J203" s="1"/>
      <c r="K203" s="1"/>
      <c r="L203" s="3"/>
      <c r="M203" s="3"/>
      <c r="N203" s="1"/>
    </row>
    <row r="204" spans="1:14" x14ac:dyDescent="0.2">
      <c r="A204" s="1"/>
      <c r="B204" s="82" t="s">
        <v>1033</v>
      </c>
      <c r="C204" s="318" t="s">
        <v>995</v>
      </c>
      <c r="D204" s="1"/>
      <c r="E204" s="1"/>
      <c r="F204" s="1"/>
      <c r="G204" s="1"/>
      <c r="H204" s="1"/>
      <c r="I204" s="1"/>
      <c r="J204" s="1"/>
      <c r="K204" s="1"/>
      <c r="L204" s="3"/>
      <c r="M204" s="3"/>
      <c r="N204" s="1"/>
    </row>
    <row r="205" spans="1:14" x14ac:dyDescent="0.2">
      <c r="A205" s="1"/>
      <c r="B205" s="52" t="str">
        <f>J205</f>
        <v/>
      </c>
      <c r="C205" s="1"/>
      <c r="D205" s="1"/>
      <c r="E205" s="1"/>
      <c r="F205" s="1"/>
      <c r="G205" s="1"/>
      <c r="H205" s="1"/>
      <c r="I205" s="1"/>
      <c r="J205" s="5" t="str">
        <f>IF(C204="x","Het juiste antwoord is: Proces","")</f>
        <v/>
      </c>
      <c r="K205" s="1"/>
      <c r="L205" s="3"/>
      <c r="M205" s="3"/>
      <c r="N205" s="1"/>
    </row>
    <row r="206" spans="1:14" x14ac:dyDescent="0.2">
      <c r="A206" s="1"/>
      <c r="B206" s="1"/>
      <c r="C206" s="1"/>
      <c r="D206" s="1"/>
      <c r="E206" s="1"/>
      <c r="F206" s="1"/>
      <c r="G206" s="1"/>
      <c r="H206" s="1"/>
      <c r="I206" s="1"/>
      <c r="J206" s="1"/>
      <c r="K206" s="1"/>
      <c r="L206" s="3"/>
      <c r="M206" s="3"/>
      <c r="N206" s="1"/>
    </row>
    <row r="207" spans="1:14" x14ac:dyDescent="0.2">
      <c r="A207" s="14"/>
      <c r="B207" s="14"/>
      <c r="C207" s="14"/>
      <c r="D207" s="14"/>
      <c r="E207" s="14"/>
      <c r="F207" s="14"/>
      <c r="G207" s="14"/>
      <c r="H207" s="14"/>
      <c r="I207" s="14"/>
      <c r="J207" s="1"/>
      <c r="K207" s="1"/>
      <c r="L207" s="3"/>
      <c r="M207" s="3"/>
      <c r="N207" s="1"/>
    </row>
    <row r="208" spans="1:14" x14ac:dyDescent="0.2">
      <c r="A208" s="1"/>
      <c r="B208" s="1"/>
      <c r="C208" s="1"/>
      <c r="D208" s="1"/>
      <c r="E208" s="1"/>
      <c r="F208" s="1"/>
      <c r="G208" s="1"/>
      <c r="H208" s="1"/>
      <c r="I208" s="1"/>
      <c r="J208" s="1"/>
      <c r="K208" s="1"/>
      <c r="L208" s="3"/>
      <c r="M208" s="3"/>
      <c r="N208" s="1"/>
    </row>
    <row r="209" spans="1:14" x14ac:dyDescent="0.2">
      <c r="A209" s="1" t="s">
        <v>907</v>
      </c>
      <c r="B209" s="1" t="s">
        <v>2058</v>
      </c>
      <c r="C209" s="1"/>
      <c r="D209" s="1"/>
      <c r="E209" s="1"/>
      <c r="F209" s="1"/>
      <c r="G209" s="1"/>
      <c r="H209" s="1"/>
      <c r="I209" s="1"/>
      <c r="J209" s="1"/>
      <c r="K209" s="1"/>
      <c r="L209" s="3"/>
      <c r="M209" s="3"/>
      <c r="N209" s="1"/>
    </row>
    <row r="210" spans="1:14" x14ac:dyDescent="0.2">
      <c r="A210" s="1"/>
      <c r="B210" s="1" t="s">
        <v>908</v>
      </c>
      <c r="C210" s="1"/>
      <c r="D210" s="1"/>
      <c r="E210" s="1"/>
      <c r="F210" s="1"/>
      <c r="G210" s="1"/>
      <c r="H210" s="1"/>
      <c r="I210" s="1"/>
      <c r="J210" s="1"/>
      <c r="K210" s="1"/>
      <c r="L210" s="3"/>
      <c r="M210" s="3"/>
      <c r="N210" s="1"/>
    </row>
    <row r="211" spans="1:14" x14ac:dyDescent="0.2">
      <c r="A211" s="1"/>
      <c r="B211" s="1" t="s">
        <v>909</v>
      </c>
      <c r="C211" s="1"/>
      <c r="D211" s="1"/>
      <c r="E211" s="1"/>
      <c r="F211" s="1"/>
      <c r="G211" s="1"/>
      <c r="H211" s="1"/>
      <c r="I211" s="1"/>
      <c r="J211" s="1"/>
      <c r="K211" s="1"/>
      <c r="L211" s="3"/>
      <c r="M211" s="3"/>
      <c r="N211" s="1"/>
    </row>
    <row r="212" spans="1:14" x14ac:dyDescent="0.2">
      <c r="A212" s="1"/>
      <c r="B212" s="1" t="s">
        <v>910</v>
      </c>
      <c r="C212" s="1"/>
      <c r="D212" s="1"/>
      <c r="E212" s="1"/>
      <c r="F212" s="1"/>
      <c r="G212" s="1"/>
      <c r="H212" s="1"/>
      <c r="I212" s="1"/>
      <c r="J212" s="1"/>
      <c r="K212" s="1"/>
      <c r="L212" s="3"/>
      <c r="M212" s="3"/>
      <c r="N212" s="1"/>
    </row>
    <row r="213" spans="1:14" x14ac:dyDescent="0.2">
      <c r="A213" s="1"/>
      <c r="B213" s="1" t="s">
        <v>1215</v>
      </c>
      <c r="C213" s="1"/>
      <c r="D213" s="1"/>
      <c r="E213" s="1"/>
      <c r="F213" s="1"/>
      <c r="G213" s="1"/>
      <c r="H213" s="1"/>
      <c r="I213" s="1"/>
      <c r="J213" s="1"/>
      <c r="K213" s="1"/>
      <c r="L213" s="3"/>
      <c r="M213" s="3"/>
      <c r="N213" s="1"/>
    </row>
    <row r="214" spans="1:14" x14ac:dyDescent="0.2">
      <c r="A214" s="1"/>
      <c r="B214" s="1" t="s">
        <v>1216</v>
      </c>
      <c r="C214" s="1"/>
      <c r="D214" s="1"/>
      <c r="E214" s="1"/>
      <c r="F214" s="1"/>
      <c r="G214" s="1"/>
      <c r="H214" s="1"/>
      <c r="I214" s="1"/>
      <c r="J214" s="1"/>
      <c r="K214" s="1"/>
      <c r="L214" s="3"/>
      <c r="M214" s="3"/>
      <c r="N214" s="1"/>
    </row>
    <row r="215" spans="1:14" x14ac:dyDescent="0.2">
      <c r="A215" s="1"/>
      <c r="B215" s="1" t="s">
        <v>1217</v>
      </c>
      <c r="C215" s="1"/>
      <c r="D215" s="1"/>
      <c r="E215" s="1"/>
      <c r="F215" s="1"/>
      <c r="G215" s="1"/>
      <c r="H215" s="1"/>
      <c r="I215" s="1"/>
      <c r="J215" s="1"/>
      <c r="K215" s="1"/>
      <c r="L215" s="3"/>
      <c r="M215" s="3"/>
      <c r="N215" s="1"/>
    </row>
    <row r="216" spans="1:14" x14ac:dyDescent="0.2">
      <c r="A216" s="1"/>
      <c r="B216" s="80" t="s">
        <v>1218</v>
      </c>
      <c r="C216" s="1"/>
      <c r="D216" s="1"/>
      <c r="E216" s="1"/>
      <c r="F216" s="1"/>
      <c r="G216" s="1"/>
      <c r="H216" s="1"/>
      <c r="I216" s="1"/>
      <c r="J216" s="1"/>
      <c r="K216" s="1"/>
      <c r="L216" s="3"/>
      <c r="M216" s="3"/>
      <c r="N216" s="1"/>
    </row>
    <row r="217" spans="1:14" x14ac:dyDescent="0.2">
      <c r="A217" s="1"/>
      <c r="B217" s="81" t="s">
        <v>895</v>
      </c>
      <c r="C217" s="1"/>
      <c r="D217" s="1"/>
      <c r="E217" s="81" t="s">
        <v>268</v>
      </c>
      <c r="F217" s="1"/>
      <c r="G217" s="1"/>
      <c r="H217" s="1"/>
      <c r="I217" s="1"/>
      <c r="J217" s="1"/>
      <c r="K217" s="1"/>
      <c r="L217" s="3"/>
      <c r="M217" s="3"/>
      <c r="N217" s="1"/>
    </row>
    <row r="218" spans="1:14" x14ac:dyDescent="0.2">
      <c r="A218" s="1"/>
      <c r="B218" s="1"/>
      <c r="C218" s="1"/>
      <c r="D218" s="1"/>
      <c r="E218" s="1" t="s">
        <v>1533</v>
      </c>
      <c r="F218" s="1"/>
      <c r="G218" s="1"/>
      <c r="H218" s="1"/>
      <c r="I218" s="1"/>
      <c r="J218" s="1"/>
      <c r="K218" s="1"/>
      <c r="L218" s="3"/>
      <c r="M218" s="3"/>
      <c r="N218" s="1"/>
    </row>
    <row r="219" spans="1:14" ht="25.5" x14ac:dyDescent="0.2">
      <c r="A219" s="26" t="s">
        <v>999</v>
      </c>
      <c r="B219" s="22" t="s">
        <v>1219</v>
      </c>
      <c r="C219" s="24" t="s">
        <v>995</v>
      </c>
      <c r="D219" s="37" t="str">
        <f>J219</f>
        <v/>
      </c>
      <c r="E219" s="1"/>
      <c r="F219" s="1"/>
      <c r="G219" s="1"/>
      <c r="H219" s="1"/>
      <c r="I219" s="1"/>
      <c r="J219" s="5" t="str">
        <f>IF(C219="x","FOUT","")</f>
        <v/>
      </c>
      <c r="K219" s="5">
        <f>ABS(IF(J219="JUIST","1","0"))</f>
        <v>0</v>
      </c>
      <c r="L219" s="3"/>
      <c r="M219" s="3"/>
      <c r="N219" s="1"/>
    </row>
    <row r="220" spans="1:14" ht="25.5" x14ac:dyDescent="0.2">
      <c r="A220" s="26" t="s">
        <v>1000</v>
      </c>
      <c r="B220" s="22" t="s">
        <v>1220</v>
      </c>
      <c r="C220" s="24" t="s">
        <v>995</v>
      </c>
      <c r="D220" s="37" t="str">
        <f>J220</f>
        <v/>
      </c>
      <c r="E220" s="1"/>
      <c r="F220" s="1"/>
      <c r="G220" s="1"/>
      <c r="H220" s="1"/>
      <c r="I220" s="1"/>
      <c r="J220" s="5" t="str">
        <f>IF(C220="x","FOUT","")</f>
        <v/>
      </c>
      <c r="K220" s="5">
        <f>ABS(IF(J220="JUIST","1","0"))</f>
        <v>0</v>
      </c>
      <c r="L220" s="3"/>
      <c r="M220" s="3"/>
      <c r="N220" s="1"/>
    </row>
    <row r="221" spans="1:14" ht="26.45" customHeight="1" x14ac:dyDescent="0.2">
      <c r="A221" s="26" t="s">
        <v>1001</v>
      </c>
      <c r="B221" s="22" t="s">
        <v>2059</v>
      </c>
      <c r="C221" s="24" t="s">
        <v>995</v>
      </c>
      <c r="D221" s="37" t="str">
        <f>J221</f>
        <v/>
      </c>
      <c r="E221" s="1"/>
      <c r="F221" s="1"/>
      <c r="G221" s="1"/>
      <c r="H221" s="1"/>
      <c r="I221" s="1"/>
      <c r="J221" s="5" t="str">
        <f>IF(C221="x","JUIST","")</f>
        <v/>
      </c>
      <c r="K221" s="5">
        <f>ABS(IF(J221="JUIST","1","0"))</f>
        <v>0</v>
      </c>
      <c r="L221" s="3">
        <v>1</v>
      </c>
      <c r="M221" s="3"/>
      <c r="N221" s="1"/>
    </row>
    <row r="222" spans="1:14" ht="54" customHeight="1" x14ac:dyDescent="0.2">
      <c r="A222" s="26" t="s">
        <v>1002</v>
      </c>
      <c r="B222" s="548" t="s">
        <v>2652</v>
      </c>
      <c r="C222" s="24" t="s">
        <v>995</v>
      </c>
      <c r="D222" s="37" t="str">
        <f>J222</f>
        <v/>
      </c>
      <c r="E222" s="1"/>
      <c r="F222" s="1"/>
      <c r="G222" s="1"/>
      <c r="H222" s="1"/>
      <c r="I222" s="1"/>
      <c r="J222" s="5" t="str">
        <f>IF(C222="x","FOUT","")</f>
        <v/>
      </c>
      <c r="K222" s="5">
        <f>ABS(IF(J222="JUIST","1","0"))</f>
        <v>0</v>
      </c>
      <c r="L222" s="3"/>
      <c r="M222" s="3"/>
      <c r="N222" s="1"/>
    </row>
    <row r="223" spans="1:14" x14ac:dyDescent="0.2">
      <c r="A223" s="1"/>
      <c r="B223" s="1"/>
      <c r="C223" s="1"/>
      <c r="D223" s="1"/>
      <c r="E223" s="1"/>
      <c r="F223" s="1"/>
      <c r="G223" s="1"/>
      <c r="H223" s="1"/>
      <c r="I223" s="1"/>
      <c r="J223" s="1"/>
      <c r="K223" s="1"/>
      <c r="L223" s="3"/>
      <c r="M223" s="3"/>
      <c r="N223" s="1"/>
    </row>
    <row r="224" spans="1:14" x14ac:dyDescent="0.2">
      <c r="A224" s="1"/>
      <c r="B224" s="82" t="s">
        <v>1033</v>
      </c>
      <c r="C224" s="10" t="s">
        <v>995</v>
      </c>
      <c r="D224" s="1"/>
      <c r="E224" s="1"/>
      <c r="F224" s="1"/>
      <c r="G224" s="1"/>
      <c r="H224" s="1"/>
      <c r="I224" s="1"/>
      <c r="J224" s="1"/>
      <c r="K224" s="1"/>
      <c r="L224" s="3"/>
      <c r="M224" s="3"/>
      <c r="N224" s="1"/>
    </row>
    <row r="225" spans="1:14" x14ac:dyDescent="0.2">
      <c r="A225" s="1"/>
      <c r="B225" s="52" t="str">
        <f>J225</f>
        <v/>
      </c>
      <c r="C225" s="1"/>
      <c r="D225" s="1"/>
      <c r="E225" s="1"/>
      <c r="F225" s="1"/>
      <c r="G225" s="1"/>
      <c r="H225" s="1"/>
      <c r="I225" s="1"/>
      <c r="J225" s="5" t="str">
        <f>IF(C224="x","Het juiste antwoord is: C","")</f>
        <v/>
      </c>
      <c r="K225" s="1"/>
      <c r="L225" s="3"/>
      <c r="M225" s="3"/>
      <c r="N225" s="1"/>
    </row>
    <row r="226" spans="1:14" x14ac:dyDescent="0.2">
      <c r="A226" s="1"/>
      <c r="B226" s="1"/>
      <c r="C226" s="1"/>
      <c r="D226" s="1"/>
      <c r="E226" s="1"/>
      <c r="F226" s="1"/>
      <c r="G226" s="1"/>
      <c r="H226" s="1"/>
      <c r="I226" s="1"/>
      <c r="J226" s="1"/>
      <c r="K226" s="1"/>
      <c r="L226" s="3"/>
      <c r="M226" s="3"/>
      <c r="N226" s="1"/>
    </row>
    <row r="227" spans="1:14" x14ac:dyDescent="0.2">
      <c r="A227" s="14"/>
      <c r="B227" s="14"/>
      <c r="C227" s="14"/>
      <c r="D227" s="14"/>
      <c r="E227" s="14"/>
      <c r="F227" s="14"/>
      <c r="G227" s="14"/>
      <c r="H227" s="14"/>
      <c r="I227" s="14"/>
      <c r="J227" s="1"/>
      <c r="K227" s="1"/>
      <c r="L227" s="3"/>
      <c r="M227" s="3"/>
      <c r="N227" s="1"/>
    </row>
    <row r="228" spans="1:14" x14ac:dyDescent="0.2">
      <c r="A228" s="1"/>
      <c r="B228" s="1"/>
      <c r="C228" s="1"/>
      <c r="D228" s="1"/>
      <c r="E228" s="1"/>
      <c r="F228" s="1"/>
      <c r="G228" s="1"/>
      <c r="H228" s="1"/>
      <c r="I228" s="1"/>
      <c r="J228" s="1"/>
      <c r="K228" s="1"/>
      <c r="L228" s="3"/>
      <c r="M228" s="3"/>
      <c r="N228" s="1"/>
    </row>
    <row r="229" spans="1:14" x14ac:dyDescent="0.2">
      <c r="A229" s="1" t="s">
        <v>1256</v>
      </c>
      <c r="B229" s="1" t="s">
        <v>1261</v>
      </c>
      <c r="C229" s="1"/>
      <c r="D229" s="1"/>
      <c r="E229" s="1"/>
      <c r="F229" s="1"/>
      <c r="G229" s="1"/>
      <c r="H229" s="1"/>
      <c r="I229" s="1"/>
      <c r="J229" s="1"/>
      <c r="K229" s="1"/>
      <c r="L229" s="3"/>
      <c r="M229" s="3"/>
      <c r="N229" s="1"/>
    </row>
    <row r="230" spans="1:14" x14ac:dyDescent="0.2">
      <c r="A230" s="1"/>
      <c r="B230" s="1" t="s">
        <v>1257</v>
      </c>
      <c r="C230" s="1"/>
      <c r="D230" s="1"/>
      <c r="E230" s="1"/>
      <c r="F230" s="1"/>
      <c r="G230" s="1"/>
      <c r="H230" s="1"/>
      <c r="I230" s="1"/>
      <c r="J230" s="1"/>
      <c r="K230" s="1"/>
      <c r="L230" s="3"/>
      <c r="M230" s="3"/>
      <c r="N230" s="1"/>
    </row>
    <row r="231" spans="1:14" x14ac:dyDescent="0.2">
      <c r="A231" s="1"/>
      <c r="B231" s="80" t="s">
        <v>1218</v>
      </c>
      <c r="C231" s="1"/>
      <c r="D231" s="1"/>
      <c r="E231" s="1"/>
      <c r="F231" s="1"/>
      <c r="G231" s="1"/>
      <c r="H231" s="1"/>
      <c r="I231" s="1"/>
      <c r="J231" s="1"/>
      <c r="K231" s="1"/>
      <c r="L231" s="3"/>
      <c r="M231" s="3"/>
      <c r="N231" s="1"/>
    </row>
    <row r="232" spans="1:14" x14ac:dyDescent="0.2">
      <c r="A232" s="1"/>
      <c r="B232" s="81" t="s">
        <v>895</v>
      </c>
      <c r="C232" s="1"/>
      <c r="D232" s="1"/>
      <c r="E232" s="1"/>
      <c r="F232" s="1"/>
      <c r="G232" s="1"/>
      <c r="H232" s="1"/>
      <c r="I232" s="1"/>
      <c r="J232" s="1"/>
      <c r="K232" s="1"/>
      <c r="L232" s="3"/>
      <c r="M232" s="3"/>
      <c r="N232" s="1"/>
    </row>
    <row r="233" spans="1:14" x14ac:dyDescent="0.2">
      <c r="A233" s="1"/>
      <c r="B233" s="1"/>
      <c r="C233" s="1"/>
      <c r="D233" s="1"/>
      <c r="E233" s="1"/>
      <c r="F233" s="1"/>
      <c r="G233" s="1"/>
      <c r="H233" s="1"/>
      <c r="I233" s="1"/>
      <c r="J233" s="1"/>
      <c r="K233" s="1"/>
      <c r="L233" s="3"/>
      <c r="M233" s="3"/>
      <c r="N233" s="1"/>
    </row>
    <row r="234" spans="1:14" x14ac:dyDescent="0.2">
      <c r="A234" s="26" t="s">
        <v>999</v>
      </c>
      <c r="B234" s="22" t="s">
        <v>1258</v>
      </c>
      <c r="C234" s="24" t="s">
        <v>995</v>
      </c>
      <c r="D234" s="37" t="str">
        <f>J234</f>
        <v/>
      </c>
      <c r="E234" s="1"/>
      <c r="F234" s="1"/>
      <c r="G234" s="1"/>
      <c r="H234" s="1"/>
      <c r="I234" s="1"/>
      <c r="J234" s="5" t="str">
        <f>IF(C234="x","JUIST","")</f>
        <v/>
      </c>
      <c r="K234" s="5">
        <f>ABS(IF(J234="JUIST","1","0"))</f>
        <v>0</v>
      </c>
      <c r="L234" s="3">
        <v>1</v>
      </c>
      <c r="M234" s="3"/>
      <c r="N234" s="1"/>
    </row>
    <row r="235" spans="1:14" x14ac:dyDescent="0.2">
      <c r="A235" s="26" t="s">
        <v>1000</v>
      </c>
      <c r="B235" s="22" t="s">
        <v>2060</v>
      </c>
      <c r="C235" s="24" t="s">
        <v>995</v>
      </c>
      <c r="D235" s="37" t="str">
        <f>J235</f>
        <v/>
      </c>
      <c r="E235" s="165" t="s">
        <v>2061</v>
      </c>
      <c r="F235" s="109"/>
      <c r="G235" s="110"/>
      <c r="H235" s="246" t="s">
        <v>1684</v>
      </c>
      <c r="I235" s="1"/>
      <c r="J235" s="5" t="str">
        <f>IF(C235="x","FOUT","")</f>
        <v/>
      </c>
      <c r="K235" s="5">
        <f>ABS(IF(J235="JUIST","1","0"))</f>
        <v>0</v>
      </c>
      <c r="L235" s="3"/>
      <c r="M235" s="3"/>
      <c r="N235" s="1"/>
    </row>
    <row r="236" spans="1:14" x14ac:dyDescent="0.2">
      <c r="A236" s="26" t="s">
        <v>1001</v>
      </c>
      <c r="B236" s="22" t="s">
        <v>1259</v>
      </c>
      <c r="C236" s="24" t="s">
        <v>995</v>
      </c>
      <c r="D236" s="37" t="str">
        <f>J236</f>
        <v/>
      </c>
      <c r="E236" s="165" t="s">
        <v>2062</v>
      </c>
      <c r="F236" s="109"/>
      <c r="G236" s="110"/>
      <c r="H236" s="246" t="s">
        <v>1684</v>
      </c>
      <c r="I236" s="1"/>
      <c r="J236" s="5" t="str">
        <f>IF(C236="x","FOUT","")</f>
        <v/>
      </c>
      <c r="K236" s="5">
        <f>ABS(IF(J236="JUIST","1","0"))</f>
        <v>0</v>
      </c>
      <c r="L236" s="3"/>
      <c r="M236" s="3"/>
      <c r="N236" s="1"/>
    </row>
    <row r="237" spans="1:14" x14ac:dyDescent="0.2">
      <c r="A237" s="26" t="s">
        <v>1002</v>
      </c>
      <c r="B237" s="22" t="s">
        <v>1260</v>
      </c>
      <c r="C237" s="24" t="s">
        <v>995</v>
      </c>
      <c r="D237" s="37" t="str">
        <f>J237</f>
        <v/>
      </c>
      <c r="E237" s="165" t="s">
        <v>1236</v>
      </c>
      <c r="F237" s="109"/>
      <c r="G237" s="110"/>
      <c r="H237" s="246" t="s">
        <v>1684</v>
      </c>
      <c r="I237" s="1"/>
      <c r="J237" s="5" t="str">
        <f>IF(C237="x","FOUT","")</f>
        <v/>
      </c>
      <c r="K237" s="5">
        <f>ABS(IF(J237="JUIST","1","0"))</f>
        <v>0</v>
      </c>
      <c r="L237" s="3"/>
      <c r="M237" s="3"/>
      <c r="N237" s="1"/>
    </row>
    <row r="238" spans="1:14" x14ac:dyDescent="0.2">
      <c r="A238" s="1"/>
      <c r="B238" s="1"/>
      <c r="C238" s="1"/>
      <c r="D238" s="1"/>
      <c r="E238" s="1"/>
      <c r="F238" s="1"/>
      <c r="G238" s="1"/>
      <c r="H238" s="1"/>
      <c r="I238" s="1"/>
      <c r="J238" s="1"/>
      <c r="K238" s="1"/>
      <c r="L238" s="3"/>
      <c r="M238" s="3"/>
      <c r="N238" s="1"/>
    </row>
    <row r="239" spans="1:14" x14ac:dyDescent="0.2">
      <c r="A239" s="1"/>
      <c r="B239" s="82" t="s">
        <v>1033</v>
      </c>
      <c r="C239" s="318" t="s">
        <v>995</v>
      </c>
      <c r="D239" s="1"/>
      <c r="E239" s="1"/>
      <c r="F239" s="1"/>
      <c r="G239" s="1"/>
      <c r="H239" s="1"/>
      <c r="I239" s="1"/>
      <c r="J239" s="1"/>
      <c r="K239" s="1"/>
      <c r="L239" s="3"/>
      <c r="M239" s="3"/>
      <c r="N239" s="1"/>
    </row>
    <row r="240" spans="1:14" x14ac:dyDescent="0.2">
      <c r="A240" s="1"/>
      <c r="B240" s="52" t="str">
        <f>J240</f>
        <v/>
      </c>
      <c r="C240" s="1"/>
      <c r="D240" s="1"/>
      <c r="E240" s="1"/>
      <c r="F240" s="1"/>
      <c r="G240" s="1"/>
      <c r="H240" s="1"/>
      <c r="I240" s="1"/>
      <c r="J240" s="5" t="str">
        <f>IF(C239="x","Het juiste antwoord is: A","")</f>
        <v/>
      </c>
      <c r="K240" s="1"/>
      <c r="L240" s="3"/>
      <c r="M240" s="3"/>
      <c r="N240" s="1"/>
    </row>
    <row r="241" spans="1:14" x14ac:dyDescent="0.2">
      <c r="A241" s="1"/>
      <c r="B241" s="1"/>
      <c r="C241" s="1"/>
      <c r="D241" s="1"/>
      <c r="E241" s="1"/>
      <c r="F241" s="1"/>
      <c r="G241" s="1"/>
      <c r="H241" s="1"/>
      <c r="I241" s="1"/>
      <c r="J241" s="1"/>
      <c r="K241" s="1"/>
      <c r="L241" s="3"/>
      <c r="M241" s="3"/>
      <c r="N241" s="1"/>
    </row>
    <row r="242" spans="1:14" x14ac:dyDescent="0.2">
      <c r="A242" s="14"/>
      <c r="B242" s="14"/>
      <c r="C242" s="14"/>
      <c r="D242" s="14"/>
      <c r="E242" s="14"/>
      <c r="F242" s="14"/>
      <c r="G242" s="14"/>
      <c r="H242" s="14"/>
      <c r="I242" s="14"/>
      <c r="J242" s="1"/>
      <c r="K242" s="1"/>
      <c r="L242" s="3"/>
      <c r="M242" s="3"/>
      <c r="N242" s="1"/>
    </row>
    <row r="243" spans="1:14" x14ac:dyDescent="0.2">
      <c r="A243" s="1"/>
      <c r="B243" s="1"/>
      <c r="C243" s="1"/>
      <c r="D243" s="1"/>
      <c r="E243" s="1"/>
      <c r="F243" s="1"/>
      <c r="G243" s="1"/>
      <c r="H243" s="1"/>
      <c r="I243" s="1"/>
      <c r="J243" s="1"/>
      <c r="K243" s="1"/>
      <c r="L243" s="3"/>
      <c r="M243" s="3"/>
      <c r="N243" s="1"/>
    </row>
    <row r="244" spans="1:14" x14ac:dyDescent="0.2">
      <c r="A244" s="1" t="s">
        <v>1262</v>
      </c>
      <c r="B244" s="1" t="s">
        <v>1263</v>
      </c>
      <c r="C244" s="1"/>
      <c r="D244" s="1"/>
      <c r="E244" s="1"/>
      <c r="F244" s="1"/>
      <c r="G244" s="1"/>
      <c r="H244" s="1"/>
      <c r="I244" s="1"/>
      <c r="J244" s="1"/>
      <c r="K244" s="1"/>
      <c r="L244" s="3"/>
      <c r="M244" s="3"/>
      <c r="N244" s="1"/>
    </row>
    <row r="245" spans="1:14" x14ac:dyDescent="0.2">
      <c r="A245" s="1"/>
      <c r="B245" s="1" t="s">
        <v>1264</v>
      </c>
      <c r="C245" s="1"/>
      <c r="D245" s="1"/>
      <c r="E245" s="1"/>
      <c r="F245" s="1"/>
      <c r="G245" s="1"/>
      <c r="H245" s="1"/>
      <c r="I245" s="1"/>
      <c r="J245" s="1"/>
      <c r="K245" s="1"/>
      <c r="L245" s="3"/>
      <c r="M245" s="3"/>
      <c r="N245" s="1"/>
    </row>
    <row r="246" spans="1:14" x14ac:dyDescent="0.2">
      <c r="A246" s="1"/>
      <c r="B246" s="81" t="s">
        <v>1265</v>
      </c>
      <c r="C246" s="1"/>
      <c r="D246" s="1"/>
      <c r="E246" s="1"/>
      <c r="F246" s="1"/>
      <c r="G246" s="1"/>
      <c r="H246" s="1"/>
      <c r="I246" s="1"/>
      <c r="J246" s="1"/>
      <c r="K246" s="1"/>
      <c r="L246" s="3"/>
      <c r="M246" s="3"/>
      <c r="N246" s="1"/>
    </row>
    <row r="247" spans="1:14" x14ac:dyDescent="0.2">
      <c r="A247" s="1"/>
      <c r="B247" s="81" t="s">
        <v>895</v>
      </c>
      <c r="C247" s="1"/>
      <c r="D247" s="1"/>
      <c r="E247" s="1"/>
      <c r="F247" s="1"/>
      <c r="G247" s="1"/>
      <c r="H247" s="1"/>
      <c r="I247" s="1"/>
      <c r="J247" s="1"/>
      <c r="K247" s="1"/>
      <c r="L247" s="3"/>
      <c r="M247" s="3"/>
      <c r="N247" s="1"/>
    </row>
    <row r="248" spans="1:14" x14ac:dyDescent="0.2">
      <c r="A248" s="1"/>
      <c r="B248" s="1"/>
      <c r="C248" s="1"/>
      <c r="D248" s="1"/>
      <c r="E248" s="1"/>
      <c r="F248" s="1"/>
      <c r="G248" s="1"/>
      <c r="H248" s="1"/>
      <c r="I248" s="1"/>
      <c r="J248" s="1"/>
      <c r="K248" s="1"/>
      <c r="L248" s="3"/>
      <c r="M248" s="3"/>
      <c r="N248" s="1"/>
    </row>
    <row r="249" spans="1:14" ht="38.25" x14ac:dyDescent="0.2">
      <c r="A249" s="26" t="s">
        <v>999</v>
      </c>
      <c r="B249" s="22" t="s">
        <v>1267</v>
      </c>
      <c r="C249" s="24" t="s">
        <v>995</v>
      </c>
      <c r="D249" s="37" t="str">
        <f>J249</f>
        <v/>
      </c>
      <c r="E249" s="1"/>
      <c r="F249" s="1"/>
      <c r="G249" s="1"/>
      <c r="H249" s="1"/>
      <c r="I249" s="1"/>
      <c r="J249" s="5" t="str">
        <f>IF(C249="x","FOUT","")</f>
        <v/>
      </c>
      <c r="K249" s="5">
        <f>ABS(IF(J249="JUIST","1","0"))</f>
        <v>0</v>
      </c>
      <c r="L249" s="3"/>
      <c r="M249" s="3"/>
      <c r="N249" s="1"/>
    </row>
    <row r="250" spans="1:14" ht="25.5" x14ac:dyDescent="0.2">
      <c r="A250" s="26" t="s">
        <v>1000</v>
      </c>
      <c r="B250" s="22" t="s">
        <v>1268</v>
      </c>
      <c r="C250" s="24" t="s">
        <v>995</v>
      </c>
      <c r="D250" s="37" t="str">
        <f>J250</f>
        <v/>
      </c>
      <c r="E250" s="1"/>
      <c r="F250" s="1"/>
      <c r="G250" s="1"/>
      <c r="H250" s="1"/>
      <c r="I250" s="1"/>
      <c r="J250" s="5" t="str">
        <f>IF(C250="x","FOUT","")</f>
        <v/>
      </c>
      <c r="K250" s="5">
        <f>ABS(IF(J250="JUIST","1","0"))</f>
        <v>0</v>
      </c>
      <c r="L250" s="3"/>
      <c r="M250" s="3"/>
      <c r="N250" s="1"/>
    </row>
    <row r="251" spans="1:14" ht="38.25" x14ac:dyDescent="0.2">
      <c r="A251" s="26" t="s">
        <v>1001</v>
      </c>
      <c r="B251" s="22" t="s">
        <v>1266</v>
      </c>
      <c r="C251" s="24" t="s">
        <v>995</v>
      </c>
      <c r="D251" s="37" t="str">
        <f>J251</f>
        <v/>
      </c>
      <c r="E251" s="1"/>
      <c r="F251" s="1"/>
      <c r="G251" s="1"/>
      <c r="H251" s="1"/>
      <c r="I251" s="1"/>
      <c r="J251" s="5" t="str">
        <f>IF(C251="x","JUIST","")</f>
        <v/>
      </c>
      <c r="K251" s="5">
        <f>ABS(IF(J251="JUIST","1","0"))</f>
        <v>0</v>
      </c>
      <c r="L251" s="3">
        <v>1</v>
      </c>
      <c r="M251" s="3"/>
      <c r="N251" s="1"/>
    </row>
    <row r="252" spans="1:14" ht="63.75" x14ac:dyDescent="0.2">
      <c r="A252" s="26" t="s">
        <v>1002</v>
      </c>
      <c r="B252" s="22" t="s">
        <v>2063</v>
      </c>
      <c r="C252" s="24" t="s">
        <v>995</v>
      </c>
      <c r="D252" s="37" t="str">
        <f>J252</f>
        <v/>
      </c>
      <c r="E252" s="57" t="s">
        <v>2064</v>
      </c>
      <c r="F252" s="1"/>
      <c r="G252" s="1"/>
      <c r="H252" s="1"/>
      <c r="I252" s="1"/>
      <c r="J252" s="5" t="str">
        <f>IF(C252="x","FOUT","")</f>
        <v/>
      </c>
      <c r="K252" s="5">
        <f>ABS(IF(J252="JUIST","1","0"))</f>
        <v>0</v>
      </c>
      <c r="L252" s="3"/>
      <c r="M252" s="3"/>
      <c r="N252" s="1"/>
    </row>
    <row r="253" spans="1:14" x14ac:dyDescent="0.2">
      <c r="A253" s="1"/>
      <c r="B253" s="1"/>
      <c r="C253" s="1"/>
      <c r="D253" s="1"/>
      <c r="E253" s="55" t="s">
        <v>1018</v>
      </c>
      <c r="F253" s="1"/>
      <c r="G253" s="1"/>
      <c r="H253" s="1"/>
      <c r="I253" s="1"/>
      <c r="J253" s="1"/>
      <c r="K253" s="1"/>
      <c r="L253" s="3"/>
      <c r="M253" s="3"/>
      <c r="N253" s="1"/>
    </row>
    <row r="254" spans="1:14" x14ac:dyDescent="0.2">
      <c r="A254" s="1"/>
      <c r="B254" s="82" t="s">
        <v>1033</v>
      </c>
      <c r="C254" s="10" t="s">
        <v>995</v>
      </c>
      <c r="D254" s="1"/>
      <c r="E254" s="235" t="s">
        <v>1017</v>
      </c>
      <c r="F254" s="1"/>
      <c r="G254" s="1"/>
      <c r="H254" s="1"/>
      <c r="I254" s="1"/>
      <c r="J254" s="1"/>
      <c r="K254" s="1"/>
      <c r="L254" s="3"/>
      <c r="M254" s="3"/>
      <c r="N254" s="1"/>
    </row>
    <row r="255" spans="1:14" x14ac:dyDescent="0.2">
      <c r="A255" s="1"/>
      <c r="B255" s="52" t="str">
        <f>J255</f>
        <v/>
      </c>
      <c r="C255" s="1"/>
      <c r="D255" s="1"/>
      <c r="E255" s="1"/>
      <c r="F255" s="1"/>
      <c r="G255" s="1"/>
      <c r="H255" s="1"/>
      <c r="I255" s="1"/>
      <c r="J255" s="5" t="str">
        <f>IF(C254="x","Het juiste antwoord is: C","")</f>
        <v/>
      </c>
      <c r="K255" s="1"/>
      <c r="L255" s="3"/>
      <c r="M255" s="3"/>
      <c r="N255" s="1"/>
    </row>
    <row r="256" spans="1:14" x14ac:dyDescent="0.2">
      <c r="A256" s="1"/>
      <c r="B256" s="1"/>
      <c r="C256" s="1"/>
      <c r="D256" s="1"/>
      <c r="E256" s="1"/>
      <c r="F256" s="1"/>
      <c r="G256" s="1"/>
      <c r="H256" s="1"/>
      <c r="I256" s="1"/>
      <c r="J256" s="1"/>
      <c r="K256" s="1"/>
      <c r="L256" s="3"/>
      <c r="M256" s="3"/>
      <c r="N256" s="1"/>
    </row>
    <row r="257" spans="1:14" x14ac:dyDescent="0.2">
      <c r="A257" s="14"/>
      <c r="B257" s="14"/>
      <c r="C257" s="14"/>
      <c r="D257" s="14"/>
      <c r="E257" s="14"/>
      <c r="F257" s="14"/>
      <c r="G257" s="14"/>
      <c r="H257" s="14"/>
      <c r="I257" s="14"/>
      <c r="J257" s="1"/>
      <c r="K257" s="1"/>
      <c r="L257" s="3"/>
      <c r="M257" s="3"/>
      <c r="N257" s="1"/>
    </row>
    <row r="258" spans="1:14" x14ac:dyDescent="0.2">
      <c r="A258" s="1"/>
      <c r="B258" s="1"/>
      <c r="C258" s="1"/>
      <c r="D258" s="1"/>
      <c r="E258" s="1"/>
      <c r="F258" s="1"/>
      <c r="G258" s="1"/>
      <c r="H258" s="1"/>
      <c r="I258" s="1"/>
      <c r="J258" s="1"/>
      <c r="K258" s="1"/>
      <c r="L258" s="3"/>
      <c r="M258" s="3"/>
      <c r="N258" s="1"/>
    </row>
    <row r="259" spans="1:14" x14ac:dyDescent="0.2">
      <c r="A259" s="1" t="s">
        <v>300</v>
      </c>
      <c r="B259" s="1" t="s">
        <v>2065</v>
      </c>
      <c r="C259" s="1"/>
      <c r="D259" s="54" t="s">
        <v>303</v>
      </c>
      <c r="E259" s="54" t="s">
        <v>305</v>
      </c>
      <c r="F259" s="1"/>
      <c r="G259" s="1"/>
      <c r="H259" s="1"/>
      <c r="I259" s="1"/>
      <c r="J259" s="1"/>
      <c r="K259" s="1"/>
      <c r="L259" s="3"/>
      <c r="M259" s="3"/>
      <c r="N259" s="1"/>
    </row>
    <row r="260" spans="1:14" ht="13.5" thickBot="1" x14ac:dyDescent="0.25">
      <c r="A260" s="1"/>
      <c r="B260" s="1" t="s">
        <v>301</v>
      </c>
      <c r="C260" s="1"/>
      <c r="D260" s="55" t="s">
        <v>304</v>
      </c>
      <c r="E260" s="55" t="s">
        <v>306</v>
      </c>
      <c r="F260" s="1"/>
      <c r="G260" s="1"/>
      <c r="H260" s="1"/>
      <c r="I260" s="1"/>
      <c r="J260" s="1"/>
      <c r="K260" s="1"/>
      <c r="L260" s="3"/>
      <c r="M260" s="3"/>
      <c r="N260" s="1"/>
    </row>
    <row r="261" spans="1:14" ht="13.5" thickTop="1" x14ac:dyDescent="0.2">
      <c r="A261" s="1"/>
      <c r="B261" s="1" t="s">
        <v>2066</v>
      </c>
      <c r="C261" s="1"/>
      <c r="D261" s="56" t="s">
        <v>995</v>
      </c>
      <c r="E261" s="56" t="s">
        <v>995</v>
      </c>
      <c r="F261" s="1"/>
      <c r="G261" s="1"/>
      <c r="H261" s="1"/>
      <c r="I261" s="1"/>
      <c r="J261" s="5" t="str">
        <f>IF(D261="x","FOUT","")</f>
        <v/>
      </c>
      <c r="K261" s="5">
        <f>ABS(IF(J261="JUIST","1","0"))</f>
        <v>0</v>
      </c>
      <c r="L261" s="3"/>
      <c r="M261" s="3"/>
      <c r="N261" s="1"/>
    </row>
    <row r="262" spans="1:14" x14ac:dyDescent="0.2">
      <c r="A262" s="1"/>
      <c r="B262" s="1" t="s">
        <v>302</v>
      </c>
      <c r="D262" s="3" t="str">
        <f>J261</f>
        <v/>
      </c>
      <c r="E262" s="3" t="str">
        <f>J262</f>
        <v/>
      </c>
      <c r="F262" s="1"/>
      <c r="G262" s="1"/>
      <c r="H262" s="1"/>
      <c r="I262" s="1"/>
      <c r="J262" s="5" t="str">
        <f>IF(E261="x","JUIST","")</f>
        <v/>
      </c>
      <c r="K262" s="5">
        <f>ABS(IF(J262="JUIST","1","0"))</f>
        <v>0</v>
      </c>
      <c r="L262" s="3">
        <v>1</v>
      </c>
      <c r="M262" s="3"/>
      <c r="N262" s="1"/>
    </row>
    <row r="263" spans="1:14" x14ac:dyDescent="0.2">
      <c r="A263" s="1"/>
      <c r="B263" s="80" t="s">
        <v>333</v>
      </c>
      <c r="C263" s="1"/>
      <c r="D263" s="1"/>
      <c r="E263" s="1"/>
      <c r="F263" s="1"/>
      <c r="G263" s="1"/>
      <c r="H263" s="1"/>
      <c r="I263" s="1"/>
      <c r="J263" s="1"/>
      <c r="K263" s="1"/>
      <c r="L263" s="3"/>
      <c r="M263" s="3"/>
      <c r="N263" s="1"/>
    </row>
    <row r="264" spans="1:14" x14ac:dyDescent="0.2">
      <c r="A264" s="1"/>
      <c r="B264" s="81" t="s">
        <v>895</v>
      </c>
      <c r="C264" s="1"/>
      <c r="D264" s="1"/>
      <c r="E264" s="1"/>
      <c r="F264" s="1"/>
      <c r="G264" s="1"/>
      <c r="H264" s="1"/>
      <c r="I264" s="1"/>
      <c r="J264" s="1"/>
      <c r="K264" s="1"/>
      <c r="L264" s="3"/>
      <c r="M264" s="3"/>
      <c r="N264" s="1"/>
    </row>
    <row r="265" spans="1:14" x14ac:dyDescent="0.2">
      <c r="A265" s="1"/>
      <c r="B265" s="1"/>
      <c r="C265" s="1"/>
      <c r="D265" s="1"/>
      <c r="E265" s="1"/>
      <c r="F265" s="1"/>
      <c r="G265" s="1"/>
      <c r="H265" s="1"/>
      <c r="I265" s="1"/>
      <c r="J265" s="1"/>
      <c r="K265" s="1"/>
      <c r="L265" s="3"/>
      <c r="M265" s="3"/>
      <c r="N265" s="1"/>
    </row>
    <row r="266" spans="1:14" x14ac:dyDescent="0.2">
      <c r="A266" s="1"/>
      <c r="B266" s="82" t="s">
        <v>1033</v>
      </c>
      <c r="C266" s="318" t="s">
        <v>995</v>
      </c>
      <c r="D266" s="1"/>
      <c r="E266" s="1"/>
      <c r="F266" s="1"/>
      <c r="G266" s="1"/>
      <c r="H266" s="1"/>
      <c r="I266" s="1"/>
      <c r="J266" s="1"/>
      <c r="K266" s="1"/>
      <c r="L266" s="3"/>
      <c r="M266" s="3"/>
      <c r="N266" s="1"/>
    </row>
    <row r="267" spans="1:14" x14ac:dyDescent="0.2">
      <c r="A267" s="1"/>
      <c r="B267" s="52" t="str">
        <f>J267</f>
        <v/>
      </c>
      <c r="C267" s="1"/>
      <c r="D267" s="1"/>
      <c r="E267" s="1"/>
      <c r="F267" s="1"/>
      <c r="G267" s="1"/>
      <c r="H267" s="1"/>
      <c r="I267" s="1"/>
      <c r="J267" s="5" t="str">
        <f>IF(C266="x","Het juiste antwoord is: Zie boek 'HRM voor de lijnmanager' paragraaf 1.5","")</f>
        <v/>
      </c>
      <c r="K267" s="1"/>
      <c r="L267" s="3"/>
      <c r="M267" s="3"/>
      <c r="N267" s="1"/>
    </row>
    <row r="268" spans="1:14" x14ac:dyDescent="0.2">
      <c r="A268" s="1"/>
      <c r="B268" s="1"/>
      <c r="C268" s="1"/>
      <c r="D268" s="1"/>
      <c r="E268" s="1"/>
      <c r="F268" s="1"/>
      <c r="G268" s="1"/>
      <c r="H268" s="1"/>
      <c r="I268" s="1"/>
      <c r="J268" s="1"/>
      <c r="K268" s="1"/>
      <c r="L268" s="3"/>
      <c r="M268" s="3"/>
      <c r="N268" s="1"/>
    </row>
    <row r="269" spans="1:14" x14ac:dyDescent="0.2">
      <c r="A269" s="14"/>
      <c r="B269" s="14"/>
      <c r="C269" s="14"/>
      <c r="D269" s="14"/>
      <c r="E269" s="14"/>
      <c r="F269" s="14"/>
      <c r="G269" s="14"/>
      <c r="H269" s="14"/>
      <c r="I269" s="14"/>
      <c r="J269" s="1"/>
      <c r="K269" s="1"/>
      <c r="L269" s="3"/>
      <c r="M269" s="3"/>
      <c r="N269" s="1"/>
    </row>
    <row r="270" spans="1:14" x14ac:dyDescent="0.2">
      <c r="A270" s="1"/>
      <c r="B270" s="1"/>
      <c r="C270" s="1"/>
      <c r="D270" s="1"/>
      <c r="E270" s="1"/>
      <c r="F270" s="1"/>
      <c r="G270" s="1"/>
      <c r="H270" s="1"/>
      <c r="I270" s="1"/>
      <c r="J270" s="1"/>
      <c r="K270" s="1"/>
      <c r="L270" s="3"/>
      <c r="M270" s="3"/>
      <c r="N270" s="1"/>
    </row>
    <row r="271" spans="1:14" x14ac:dyDescent="0.2">
      <c r="A271" s="1" t="s">
        <v>307</v>
      </c>
      <c r="B271" s="1" t="s">
        <v>2634</v>
      </c>
      <c r="C271" s="1"/>
      <c r="D271" s="54" t="s">
        <v>303</v>
      </c>
      <c r="E271" s="54" t="s">
        <v>305</v>
      </c>
      <c r="F271" s="1"/>
      <c r="G271" s="1"/>
      <c r="H271" s="1"/>
      <c r="I271" s="1"/>
      <c r="J271" s="1"/>
      <c r="K271" s="1"/>
      <c r="L271" s="3"/>
      <c r="M271" s="3"/>
      <c r="N271" s="1"/>
    </row>
    <row r="272" spans="1:14" ht="13.5" thickBot="1" x14ac:dyDescent="0.25">
      <c r="A272" s="1"/>
      <c r="B272" s="1" t="s">
        <v>2067</v>
      </c>
      <c r="C272" s="1"/>
      <c r="D272" s="55" t="s">
        <v>304</v>
      </c>
      <c r="E272" s="55" t="s">
        <v>306</v>
      </c>
      <c r="F272" s="1"/>
      <c r="G272" s="1"/>
      <c r="H272" s="1"/>
      <c r="I272" s="1"/>
      <c r="J272" s="1"/>
      <c r="K272" s="1"/>
      <c r="L272" s="3"/>
      <c r="M272" s="3"/>
      <c r="N272" s="1"/>
    </row>
    <row r="273" spans="1:14" ht="13.5" thickTop="1" x14ac:dyDescent="0.2">
      <c r="A273" s="1"/>
      <c r="B273" s="1" t="s">
        <v>302</v>
      </c>
      <c r="C273" s="1"/>
      <c r="D273" s="56" t="s">
        <v>995</v>
      </c>
      <c r="E273" s="56" t="s">
        <v>995</v>
      </c>
      <c r="F273" s="1"/>
      <c r="G273" s="1"/>
      <c r="H273" s="1"/>
      <c r="I273" s="1"/>
      <c r="J273" s="5" t="str">
        <f>IF(D273="x","JUIST","")</f>
        <v/>
      </c>
      <c r="K273" s="5">
        <f>ABS(IF(J273="JUIST","1","0"))</f>
        <v>0</v>
      </c>
      <c r="L273" s="3">
        <v>1</v>
      </c>
      <c r="M273" s="3"/>
      <c r="N273" s="1"/>
    </row>
    <row r="274" spans="1:14" x14ac:dyDescent="0.2">
      <c r="A274" s="1"/>
      <c r="B274" s="80" t="s">
        <v>333</v>
      </c>
      <c r="D274" s="3" t="str">
        <f>J273</f>
        <v/>
      </c>
      <c r="E274" s="3" t="str">
        <f>J274</f>
        <v/>
      </c>
      <c r="F274" s="1"/>
      <c r="G274" s="1"/>
      <c r="H274" s="1"/>
      <c r="I274" s="1"/>
      <c r="J274" s="5" t="str">
        <f>IF(E273="x","FOUT","")</f>
        <v/>
      </c>
      <c r="K274" s="5">
        <f>ABS(IF(J274="JUIST","1","0"))</f>
        <v>0</v>
      </c>
      <c r="L274" s="3"/>
      <c r="M274" s="3"/>
      <c r="N274" s="1"/>
    </row>
    <row r="275" spans="1:14" x14ac:dyDescent="0.2">
      <c r="A275" s="1"/>
      <c r="B275" s="81" t="s">
        <v>895</v>
      </c>
      <c r="C275" s="1"/>
      <c r="D275" s="1"/>
      <c r="E275" s="1"/>
      <c r="F275" s="1"/>
      <c r="G275" s="1"/>
      <c r="H275" s="1"/>
      <c r="I275" s="1"/>
      <c r="J275" s="1"/>
      <c r="K275" s="1"/>
      <c r="L275" s="3"/>
      <c r="M275" s="3"/>
      <c r="N275" s="1"/>
    </row>
    <row r="276" spans="1:14" x14ac:dyDescent="0.2">
      <c r="A276" s="1"/>
      <c r="B276" s="1"/>
      <c r="C276" s="1"/>
      <c r="D276" s="1"/>
      <c r="E276" s="1"/>
      <c r="F276" s="1"/>
      <c r="G276" s="1"/>
      <c r="H276" s="1"/>
      <c r="I276" s="1"/>
      <c r="J276" s="1"/>
      <c r="K276" s="1"/>
      <c r="L276" s="3"/>
      <c r="M276" s="3"/>
      <c r="N276" s="1"/>
    </row>
    <row r="277" spans="1:14" x14ac:dyDescent="0.2">
      <c r="A277" s="1"/>
      <c r="B277" s="82" t="s">
        <v>1033</v>
      </c>
      <c r="C277" s="318" t="s">
        <v>995</v>
      </c>
      <c r="D277" s="1"/>
      <c r="E277" s="1"/>
      <c r="F277" s="1"/>
      <c r="G277" s="1"/>
      <c r="H277" s="1"/>
      <c r="I277" s="1"/>
      <c r="J277" s="1"/>
      <c r="K277" s="1"/>
      <c r="L277" s="3"/>
      <c r="M277" s="3"/>
      <c r="N277" s="1"/>
    </row>
    <row r="278" spans="1:14" x14ac:dyDescent="0.2">
      <c r="A278" s="1"/>
      <c r="B278" s="52" t="str">
        <f>J278</f>
        <v/>
      </c>
      <c r="C278" s="1"/>
      <c r="D278" s="1"/>
      <c r="E278" s="1"/>
      <c r="F278" s="1"/>
      <c r="G278" s="1"/>
      <c r="H278" s="1"/>
      <c r="I278" s="1"/>
      <c r="J278" s="5" t="str">
        <f>IF(C277="x","Het juiste antwoord is: Zie boek 'HRM voor de lijnmanager' paragraaf 1.5","")</f>
        <v/>
      </c>
      <c r="K278" s="1"/>
      <c r="L278" s="3"/>
      <c r="M278" s="3"/>
      <c r="N278" s="1"/>
    </row>
    <row r="279" spans="1:14" x14ac:dyDescent="0.2">
      <c r="A279" s="1"/>
      <c r="B279" s="1"/>
      <c r="C279" s="1"/>
      <c r="D279" s="1"/>
      <c r="E279" s="1"/>
      <c r="F279" s="1"/>
      <c r="G279" s="1"/>
      <c r="H279" s="1"/>
      <c r="I279" s="1"/>
      <c r="J279" s="1"/>
      <c r="K279" s="1"/>
      <c r="L279" s="3"/>
      <c r="M279" s="3"/>
      <c r="N279" s="1"/>
    </row>
    <row r="280" spans="1:14" x14ac:dyDescent="0.2">
      <c r="A280" s="14"/>
      <c r="B280" s="14"/>
      <c r="C280" s="14"/>
      <c r="D280" s="14"/>
      <c r="E280" s="14"/>
      <c r="F280" s="14"/>
      <c r="G280" s="14"/>
      <c r="H280" s="14"/>
      <c r="I280" s="14"/>
      <c r="J280" s="1"/>
      <c r="K280" s="1"/>
      <c r="L280" s="3"/>
      <c r="M280" s="3"/>
      <c r="N280" s="1"/>
    </row>
    <row r="281" spans="1:14" x14ac:dyDescent="0.2">
      <c r="A281" s="1"/>
      <c r="B281" s="1"/>
      <c r="C281" s="1"/>
      <c r="D281" s="1"/>
      <c r="E281" s="1"/>
      <c r="F281" s="1"/>
      <c r="G281" s="1"/>
      <c r="H281" s="1"/>
      <c r="I281" s="1"/>
      <c r="J281" s="1"/>
      <c r="K281" s="1"/>
      <c r="L281" s="3"/>
      <c r="M281" s="3"/>
      <c r="N281" s="1"/>
    </row>
    <row r="282" spans="1:14" x14ac:dyDescent="0.2">
      <c r="A282" s="1" t="s">
        <v>314</v>
      </c>
      <c r="B282" s="1" t="s">
        <v>2068</v>
      </c>
      <c r="C282" s="1"/>
      <c r="D282" s="1"/>
      <c r="E282" s="1"/>
      <c r="F282" s="1"/>
      <c r="G282" s="1"/>
      <c r="H282" s="1"/>
      <c r="I282" s="1"/>
      <c r="J282" s="1"/>
      <c r="K282" s="1"/>
      <c r="L282" s="3"/>
      <c r="M282" s="3"/>
      <c r="N282" s="1"/>
    </row>
    <row r="283" spans="1:14" x14ac:dyDescent="0.2">
      <c r="A283" s="1"/>
      <c r="B283" s="1" t="s">
        <v>2069</v>
      </c>
      <c r="C283" s="1"/>
      <c r="D283" s="1"/>
      <c r="E283" s="1"/>
      <c r="F283" s="1"/>
      <c r="G283" s="1"/>
      <c r="H283" s="1"/>
      <c r="I283" s="1"/>
      <c r="J283" s="1"/>
      <c r="K283" s="1"/>
      <c r="L283" s="3"/>
      <c r="M283" s="3"/>
      <c r="N283" s="1"/>
    </row>
    <row r="284" spans="1:14" x14ac:dyDescent="0.2">
      <c r="A284" s="1"/>
      <c r="B284" s="1" t="s">
        <v>2070</v>
      </c>
      <c r="C284" s="1"/>
      <c r="D284" s="1"/>
      <c r="E284" s="1"/>
      <c r="F284" s="1"/>
      <c r="G284" s="1"/>
      <c r="H284" s="1"/>
      <c r="I284" s="1"/>
      <c r="J284" s="1"/>
      <c r="K284" s="1"/>
      <c r="L284" s="3"/>
      <c r="M284" s="3"/>
      <c r="N284" s="1"/>
    </row>
    <row r="285" spans="1:14" x14ac:dyDescent="0.2">
      <c r="A285" s="1"/>
      <c r="B285" s="1" t="s">
        <v>2071</v>
      </c>
      <c r="C285" s="1"/>
      <c r="D285" s="1"/>
      <c r="E285" s="1"/>
      <c r="F285" s="1"/>
      <c r="G285" s="1"/>
      <c r="H285" s="1"/>
      <c r="I285" s="1"/>
      <c r="J285" s="1"/>
      <c r="K285" s="1"/>
      <c r="L285" s="3"/>
      <c r="M285" s="3"/>
      <c r="N285" s="1"/>
    </row>
    <row r="286" spans="1:14" ht="15" customHeight="1" x14ac:dyDescent="0.2">
      <c r="A286" s="1"/>
      <c r="B286" s="80" t="s">
        <v>313</v>
      </c>
      <c r="C286" s="1"/>
      <c r="D286" s="1"/>
      <c r="E286" s="1"/>
      <c r="F286" s="1"/>
      <c r="G286" s="1"/>
      <c r="H286" s="1"/>
      <c r="I286" s="1"/>
      <c r="J286" s="1"/>
      <c r="K286" s="1"/>
      <c r="L286" s="3"/>
      <c r="M286" s="3"/>
      <c r="N286" s="1"/>
    </row>
    <row r="287" spans="1:14" x14ac:dyDescent="0.2">
      <c r="A287" s="1"/>
      <c r="B287" s="81" t="s">
        <v>895</v>
      </c>
      <c r="C287" s="1"/>
      <c r="D287" s="1"/>
      <c r="E287" s="1"/>
      <c r="F287" s="1"/>
      <c r="G287" s="1"/>
      <c r="H287" s="1"/>
      <c r="I287" s="1"/>
      <c r="J287" s="1"/>
      <c r="K287" s="1"/>
      <c r="L287" s="3"/>
      <c r="M287" s="3"/>
      <c r="N287" s="1"/>
    </row>
    <row r="288" spans="1:14" x14ac:dyDescent="0.2">
      <c r="A288" s="1"/>
      <c r="B288" s="1"/>
      <c r="C288" s="1"/>
      <c r="D288" s="1"/>
      <c r="E288" s="1"/>
      <c r="F288" s="1"/>
      <c r="G288" s="1"/>
      <c r="H288" s="1"/>
      <c r="I288" s="1"/>
      <c r="J288" s="1"/>
      <c r="K288" s="1"/>
      <c r="L288" s="3"/>
      <c r="M288" s="3"/>
      <c r="N288" s="1"/>
    </row>
    <row r="289" spans="1:14" x14ac:dyDescent="0.2">
      <c r="A289" s="26" t="s">
        <v>999</v>
      </c>
      <c r="B289" s="22" t="s">
        <v>312</v>
      </c>
      <c r="C289" s="24" t="s">
        <v>995</v>
      </c>
      <c r="D289" s="37" t="str">
        <f>J289</f>
        <v/>
      </c>
      <c r="E289" s="1"/>
      <c r="F289" s="1"/>
      <c r="G289" s="1"/>
      <c r="H289" s="1"/>
      <c r="I289" s="1"/>
      <c r="J289" s="5" t="str">
        <f>IF(C289="x","JUIST","")</f>
        <v/>
      </c>
      <c r="K289" s="5">
        <f>ABS(IF(J289="JUIST","1","0"))</f>
        <v>0</v>
      </c>
      <c r="L289" s="3">
        <v>1</v>
      </c>
      <c r="M289" s="3"/>
      <c r="N289" s="1"/>
    </row>
    <row r="290" spans="1:14" x14ac:dyDescent="0.2">
      <c r="A290" s="26" t="s">
        <v>1000</v>
      </c>
      <c r="B290" s="22" t="s">
        <v>310</v>
      </c>
      <c r="C290" s="24" t="s">
        <v>995</v>
      </c>
      <c r="D290" s="37" t="str">
        <f>J290</f>
        <v/>
      </c>
      <c r="E290" s="1"/>
      <c r="F290" s="1"/>
      <c r="G290" s="1"/>
      <c r="H290" s="1"/>
      <c r="I290" s="1"/>
      <c r="J290" s="5" t="str">
        <f>IF(C290="x","FOUT","")</f>
        <v/>
      </c>
      <c r="K290" s="5">
        <f>ABS(IF(J290="JUIST","1","0"))</f>
        <v>0</v>
      </c>
      <c r="L290" s="3"/>
      <c r="M290" s="3"/>
      <c r="N290" s="1"/>
    </row>
    <row r="291" spans="1:14" x14ac:dyDescent="0.2">
      <c r="A291" s="26" t="s">
        <v>1001</v>
      </c>
      <c r="B291" s="22" t="s">
        <v>309</v>
      </c>
      <c r="C291" s="24" t="s">
        <v>995</v>
      </c>
      <c r="D291" s="37" t="str">
        <f>J291</f>
        <v/>
      </c>
      <c r="E291" s="1"/>
      <c r="F291" s="1"/>
      <c r="G291" s="1"/>
      <c r="H291" s="1"/>
      <c r="I291" s="1"/>
      <c r="J291" s="5" t="str">
        <f>IF(C291="x","FOUT","")</f>
        <v/>
      </c>
      <c r="K291" s="5">
        <f>ABS(IF(J291="JUIST","1","0"))</f>
        <v>0</v>
      </c>
      <c r="L291" s="3"/>
      <c r="M291" s="3"/>
      <c r="N291" s="1"/>
    </row>
    <row r="292" spans="1:14" x14ac:dyDescent="0.2">
      <c r="A292" s="26" t="s">
        <v>1002</v>
      </c>
      <c r="B292" s="22" t="s">
        <v>346</v>
      </c>
      <c r="C292" s="24" t="s">
        <v>995</v>
      </c>
      <c r="D292" s="37" t="str">
        <f>J292</f>
        <v/>
      </c>
      <c r="E292" s="1"/>
      <c r="F292" s="1"/>
      <c r="G292" s="1"/>
      <c r="H292" s="1"/>
      <c r="I292" s="1"/>
      <c r="J292" s="5" t="str">
        <f>IF(C292="x","FOUT","")</f>
        <v/>
      </c>
      <c r="K292" s="5">
        <f>ABS(IF(J292="JUIST","1","0"))</f>
        <v>0</v>
      </c>
      <c r="L292" s="3"/>
      <c r="M292" s="3"/>
      <c r="N292" s="1"/>
    </row>
    <row r="293" spans="1:14" x14ac:dyDescent="0.2">
      <c r="A293" s="1"/>
      <c r="B293" s="1"/>
      <c r="C293" s="1"/>
      <c r="D293" s="1"/>
      <c r="E293" s="1"/>
      <c r="F293" s="1"/>
      <c r="G293" s="1"/>
      <c r="H293" s="1"/>
      <c r="I293" s="1"/>
      <c r="J293" s="1"/>
      <c r="K293" s="1"/>
      <c r="L293" s="3"/>
      <c r="M293" s="3"/>
      <c r="N293" s="1"/>
    </row>
    <row r="294" spans="1:14" x14ac:dyDescent="0.2">
      <c r="A294" s="1"/>
      <c r="B294" s="82" t="s">
        <v>1033</v>
      </c>
      <c r="C294" s="318" t="s">
        <v>995</v>
      </c>
      <c r="D294" s="1"/>
      <c r="E294" s="1"/>
      <c r="F294" s="1"/>
      <c r="G294" s="1"/>
      <c r="H294" s="1"/>
      <c r="I294" s="1"/>
      <c r="J294" s="1"/>
      <c r="K294" s="1"/>
      <c r="L294" s="3"/>
      <c r="M294" s="3"/>
      <c r="N294" s="1"/>
    </row>
    <row r="295" spans="1:14" x14ac:dyDescent="0.2">
      <c r="A295" s="1"/>
      <c r="B295" s="52" t="str">
        <f>J295</f>
        <v/>
      </c>
      <c r="C295" s="1"/>
      <c r="D295" s="1"/>
      <c r="E295" s="1"/>
      <c r="F295" s="1"/>
      <c r="G295" s="1"/>
      <c r="H295" s="1"/>
      <c r="I295" s="1"/>
      <c r="J295" s="5" t="str">
        <f>IF(C294="x","Het juiste (tricky!) antwoord op deze (tricky!) vraag is: A","")</f>
        <v/>
      </c>
      <c r="K295" s="1"/>
      <c r="L295" s="3"/>
      <c r="M295" s="3"/>
      <c r="N295" s="1"/>
    </row>
    <row r="296" spans="1:14" x14ac:dyDescent="0.2">
      <c r="A296" s="1"/>
      <c r="B296" s="1"/>
      <c r="C296" s="1"/>
      <c r="D296" s="1"/>
      <c r="E296" s="1"/>
      <c r="F296" s="1"/>
      <c r="G296" s="1"/>
      <c r="H296" s="1"/>
      <c r="I296" s="1"/>
      <c r="J296" s="1"/>
      <c r="K296" s="1"/>
      <c r="L296" s="3"/>
      <c r="M296" s="3"/>
      <c r="N296" s="1"/>
    </row>
    <row r="297" spans="1:14" x14ac:dyDescent="0.2">
      <c r="A297" s="14"/>
      <c r="B297" s="14"/>
      <c r="C297" s="14"/>
      <c r="D297" s="14"/>
      <c r="E297" s="14"/>
      <c r="F297" s="14"/>
      <c r="G297" s="14"/>
      <c r="H297" s="14"/>
      <c r="I297" s="14"/>
      <c r="J297" s="1"/>
      <c r="K297" s="1"/>
      <c r="L297" s="3"/>
      <c r="M297" s="3"/>
      <c r="N297" s="1"/>
    </row>
    <row r="298" spans="1:14" x14ac:dyDescent="0.2">
      <c r="A298" s="1"/>
      <c r="B298" s="1"/>
      <c r="C298" s="1"/>
      <c r="D298" s="1"/>
      <c r="E298" s="1"/>
      <c r="F298" s="1"/>
      <c r="G298" s="1"/>
      <c r="H298" s="1"/>
      <c r="I298" s="1"/>
      <c r="J298" s="1"/>
      <c r="K298" s="1"/>
      <c r="L298" s="3"/>
      <c r="M298" s="3"/>
      <c r="N298" s="1"/>
    </row>
    <row r="299" spans="1:14" x14ac:dyDescent="0.2">
      <c r="A299" s="1" t="s">
        <v>315</v>
      </c>
      <c r="B299" s="1" t="s">
        <v>2068</v>
      </c>
      <c r="C299" s="1"/>
      <c r="D299" s="1"/>
      <c r="E299" s="1"/>
      <c r="F299" s="1"/>
      <c r="G299" s="1"/>
      <c r="H299" s="1"/>
      <c r="I299" s="1"/>
      <c r="J299" s="1"/>
      <c r="K299" s="1"/>
      <c r="L299" s="3"/>
      <c r="M299" s="3"/>
      <c r="N299" s="1"/>
    </row>
    <row r="300" spans="1:14" x14ac:dyDescent="0.2">
      <c r="A300" s="1"/>
      <c r="B300" s="1" t="s">
        <v>311</v>
      </c>
      <c r="C300" s="1"/>
      <c r="D300" s="1"/>
      <c r="E300" s="1"/>
      <c r="F300" s="1"/>
      <c r="G300" s="1"/>
      <c r="H300" s="1"/>
      <c r="I300" s="1"/>
      <c r="J300" s="1"/>
      <c r="K300" s="1"/>
      <c r="L300" s="3"/>
      <c r="M300" s="3"/>
      <c r="N300" s="1"/>
    </row>
    <row r="301" spans="1:14" x14ac:dyDescent="0.2">
      <c r="A301" s="1"/>
      <c r="B301" s="1" t="s">
        <v>308</v>
      </c>
      <c r="C301" s="1"/>
      <c r="D301" s="1"/>
      <c r="E301" s="1"/>
      <c r="F301" s="1"/>
      <c r="G301" s="1"/>
      <c r="H301" s="1"/>
      <c r="I301" s="1"/>
      <c r="J301" s="1"/>
      <c r="K301" s="1"/>
      <c r="L301" s="3"/>
      <c r="M301" s="3"/>
      <c r="N301" s="1"/>
    </row>
    <row r="302" spans="1:14" x14ac:dyDescent="0.2">
      <c r="A302" s="1"/>
      <c r="B302" s="1" t="s">
        <v>316</v>
      </c>
      <c r="C302" s="1"/>
      <c r="D302" s="1"/>
      <c r="E302" s="1"/>
      <c r="F302" s="1"/>
      <c r="G302" s="1"/>
      <c r="H302" s="1"/>
      <c r="I302" s="1"/>
      <c r="J302" s="1"/>
      <c r="K302" s="1"/>
      <c r="L302" s="3"/>
      <c r="M302" s="3"/>
      <c r="N302" s="1"/>
    </row>
    <row r="303" spans="1:14" x14ac:dyDescent="0.2">
      <c r="A303" s="1"/>
      <c r="B303" s="1" t="s">
        <v>317</v>
      </c>
      <c r="C303" s="1"/>
      <c r="D303" s="1"/>
      <c r="E303" s="1"/>
      <c r="F303" s="1"/>
      <c r="G303" s="18"/>
      <c r="H303" s="1"/>
      <c r="I303" s="1"/>
      <c r="J303" s="1"/>
      <c r="K303" s="1"/>
      <c r="L303" s="3"/>
      <c r="M303" s="3"/>
      <c r="N303" s="1"/>
    </row>
    <row r="304" spans="1:14" ht="25.5" x14ac:dyDescent="0.2">
      <c r="A304" s="1"/>
      <c r="B304" s="80" t="s">
        <v>1099</v>
      </c>
      <c r="C304" s="1"/>
      <c r="D304" s="1"/>
      <c r="E304" s="1"/>
      <c r="F304" s="1"/>
      <c r="G304" s="60"/>
      <c r="H304" s="1"/>
      <c r="I304" s="1"/>
      <c r="J304" s="1"/>
      <c r="K304" s="1"/>
      <c r="L304" s="3"/>
      <c r="M304" s="3"/>
      <c r="N304" s="1"/>
    </row>
    <row r="305" spans="1:14" ht="13.5" thickBot="1" x14ac:dyDescent="0.25">
      <c r="A305" s="1"/>
      <c r="B305" s="1"/>
      <c r="C305" s="12" t="s">
        <v>1079</v>
      </c>
      <c r="D305" s="58" t="s">
        <v>319</v>
      </c>
      <c r="E305" s="12" t="s">
        <v>320</v>
      </c>
      <c r="F305" s="79"/>
      <c r="G305" s="18"/>
      <c r="H305" s="1"/>
      <c r="I305" s="1"/>
      <c r="J305" s="38" t="s">
        <v>1642</v>
      </c>
      <c r="K305" s="1"/>
      <c r="L305" s="3"/>
      <c r="M305" s="3" t="s">
        <v>1098</v>
      </c>
      <c r="N305" s="1"/>
    </row>
    <row r="306" spans="1:14" ht="51" customHeight="1" thickTop="1" x14ac:dyDescent="0.2">
      <c r="A306" s="26" t="s">
        <v>999</v>
      </c>
      <c r="B306" s="520" t="s">
        <v>318</v>
      </c>
      <c r="C306" s="496" t="s">
        <v>995</v>
      </c>
      <c r="D306" s="493" t="s">
        <v>995</v>
      </c>
      <c r="E306" s="495" t="s">
        <v>995</v>
      </c>
      <c r="F306" s="229" t="str">
        <f>IF(M306=1,"Dit is als extra vraag, zonder te behalen punten.","")</f>
        <v/>
      </c>
      <c r="G306" s="227"/>
      <c r="H306" s="1"/>
      <c r="I306" s="1"/>
      <c r="J306" s="66" t="str">
        <f>IF(E306="x","JUIST","FOUT")</f>
        <v>FOUT</v>
      </c>
      <c r="K306" s="5" t="s">
        <v>995</v>
      </c>
      <c r="L306" s="3"/>
      <c r="M306" s="5">
        <f>IF(J306="JUIST",1,0)</f>
        <v>0</v>
      </c>
      <c r="N306" s="1"/>
    </row>
    <row r="307" spans="1:14" ht="41.1" customHeight="1" x14ac:dyDescent="0.2">
      <c r="A307" s="26" t="s">
        <v>1000</v>
      </c>
      <c r="B307" s="22" t="s">
        <v>2072</v>
      </c>
      <c r="C307" s="442" t="s">
        <v>995</v>
      </c>
      <c r="D307" s="497" t="s">
        <v>995</v>
      </c>
      <c r="E307" s="442" t="s">
        <v>995</v>
      </c>
      <c r="F307" s="229" t="str">
        <f t="shared" ref="F307:F313" si="4">IF(M307=1,"Dit is als extra vraag, zonder te behalen punten.","")</f>
        <v/>
      </c>
      <c r="G307" s="227"/>
      <c r="H307" s="1"/>
      <c r="I307" s="1"/>
      <c r="J307" s="36" t="str">
        <f>IF(C307="x","JUIST","FOUT")</f>
        <v>FOUT</v>
      </c>
      <c r="K307" s="5" t="s">
        <v>995</v>
      </c>
      <c r="L307" s="3"/>
      <c r="M307" s="5">
        <f t="shared" ref="M307:M313" si="5">IF(J307="JUIST",1,0)</f>
        <v>0</v>
      </c>
      <c r="N307" s="1"/>
    </row>
    <row r="308" spans="1:14" ht="25.5" x14ac:dyDescent="0.2">
      <c r="A308" s="26" t="s">
        <v>1001</v>
      </c>
      <c r="B308" s="548" t="s">
        <v>2653</v>
      </c>
      <c r="C308" s="442" t="s">
        <v>995</v>
      </c>
      <c r="D308" s="497" t="s">
        <v>995</v>
      </c>
      <c r="E308" s="442" t="s">
        <v>995</v>
      </c>
      <c r="F308" s="229" t="str">
        <f t="shared" si="4"/>
        <v/>
      </c>
      <c r="G308" s="227"/>
      <c r="H308" s="1"/>
      <c r="I308" s="1"/>
      <c r="J308" s="36" t="str">
        <f>IF(D308="x","JUIST","FOUT")</f>
        <v>FOUT</v>
      </c>
      <c r="K308" s="5" t="s">
        <v>995</v>
      </c>
      <c r="L308" s="3"/>
      <c r="M308" s="5">
        <f t="shared" si="5"/>
        <v>0</v>
      </c>
      <c r="N308" s="1"/>
    </row>
    <row r="309" spans="1:14" ht="25.5" x14ac:dyDescent="0.2">
      <c r="A309" s="26" t="s">
        <v>1002</v>
      </c>
      <c r="B309" s="22" t="s">
        <v>2073</v>
      </c>
      <c r="C309" s="442" t="s">
        <v>995</v>
      </c>
      <c r="D309" s="497" t="s">
        <v>995</v>
      </c>
      <c r="E309" s="442" t="s">
        <v>995</v>
      </c>
      <c r="F309" s="229" t="str">
        <f t="shared" si="4"/>
        <v/>
      </c>
      <c r="G309" s="227"/>
      <c r="H309" s="1"/>
      <c r="I309" s="1"/>
      <c r="J309" s="36" t="str">
        <f>IF(D309="x","JUIST","FOUT")</f>
        <v>FOUT</v>
      </c>
      <c r="K309" s="5" t="s">
        <v>995</v>
      </c>
      <c r="L309" s="3"/>
      <c r="M309" s="5">
        <f t="shared" si="5"/>
        <v>0</v>
      </c>
      <c r="N309" s="1"/>
    </row>
    <row r="310" spans="1:14" ht="25.5" x14ac:dyDescent="0.2">
      <c r="A310" s="26" t="s">
        <v>863</v>
      </c>
      <c r="B310" s="548" t="s">
        <v>2654</v>
      </c>
      <c r="C310" s="442" t="s">
        <v>995</v>
      </c>
      <c r="D310" s="497" t="s">
        <v>995</v>
      </c>
      <c r="E310" s="442" t="s">
        <v>995</v>
      </c>
      <c r="F310" s="229" t="str">
        <f t="shared" si="4"/>
        <v/>
      </c>
      <c r="G310" s="227"/>
      <c r="H310" s="1"/>
      <c r="I310" s="1"/>
      <c r="J310" s="36" t="str">
        <f>IF(D310="x","JUIST","FOUT")</f>
        <v>FOUT</v>
      </c>
      <c r="K310" s="5" t="s">
        <v>995</v>
      </c>
      <c r="L310" s="3"/>
      <c r="M310" s="5">
        <f t="shared" si="5"/>
        <v>0</v>
      </c>
      <c r="N310" s="1"/>
    </row>
    <row r="311" spans="1:14" ht="38.25" x14ac:dyDescent="0.2">
      <c r="A311" s="26" t="s">
        <v>1080</v>
      </c>
      <c r="B311" s="22" t="s">
        <v>2074</v>
      </c>
      <c r="C311" s="442" t="s">
        <v>995</v>
      </c>
      <c r="D311" s="497" t="s">
        <v>995</v>
      </c>
      <c r="E311" s="494" t="s">
        <v>995</v>
      </c>
      <c r="F311" s="229" t="str">
        <f t="shared" si="4"/>
        <v/>
      </c>
      <c r="G311" s="227"/>
      <c r="H311" s="1"/>
      <c r="I311" s="1"/>
      <c r="J311" s="36" t="str">
        <f>IF(C311="x","JUIST","FOUT")</f>
        <v>FOUT</v>
      </c>
      <c r="K311" s="5" t="s">
        <v>995</v>
      </c>
      <c r="L311" s="3"/>
      <c r="M311" s="5">
        <f t="shared" si="5"/>
        <v>0</v>
      </c>
      <c r="N311" s="1"/>
    </row>
    <row r="312" spans="1:14" ht="38.25" x14ac:dyDescent="0.2">
      <c r="A312" s="26" t="s">
        <v>1082</v>
      </c>
      <c r="B312" s="22" t="s">
        <v>321</v>
      </c>
      <c r="C312" s="442" t="s">
        <v>995</v>
      </c>
      <c r="D312" s="497" t="s">
        <v>995</v>
      </c>
      <c r="E312" s="443" t="s">
        <v>995</v>
      </c>
      <c r="F312" s="229" t="str">
        <f t="shared" si="4"/>
        <v/>
      </c>
      <c r="G312" s="227"/>
      <c r="H312" s="1"/>
      <c r="I312" s="1"/>
      <c r="J312" s="36" t="str">
        <f>IF(D312="x","JUIST","FOUT")</f>
        <v>FOUT</v>
      </c>
      <c r="K312" s="5" t="s">
        <v>995</v>
      </c>
      <c r="L312" s="3"/>
      <c r="M312" s="5">
        <f t="shared" si="5"/>
        <v>0</v>
      </c>
      <c r="N312" s="1"/>
    </row>
    <row r="313" spans="1:14" ht="51" x14ac:dyDescent="0.2">
      <c r="A313" s="26" t="s">
        <v>322</v>
      </c>
      <c r="B313" s="22" t="s">
        <v>2075</v>
      </c>
      <c r="C313" s="442" t="s">
        <v>995</v>
      </c>
      <c r="D313" s="497" t="s">
        <v>995</v>
      </c>
      <c r="E313" s="494" t="s">
        <v>995</v>
      </c>
      <c r="F313" s="229" t="str">
        <f t="shared" si="4"/>
        <v/>
      </c>
      <c r="G313" s="227"/>
      <c r="H313" s="1"/>
      <c r="I313" s="1"/>
      <c r="J313" s="36" t="str">
        <f>IF(E313="x","JUIST","FOUT")</f>
        <v>FOUT</v>
      </c>
      <c r="K313" s="5" t="s">
        <v>995</v>
      </c>
      <c r="L313" s="3"/>
      <c r="M313" s="5">
        <f t="shared" si="5"/>
        <v>0</v>
      </c>
      <c r="N313" s="1"/>
    </row>
    <row r="314" spans="1:14" ht="25.5" x14ac:dyDescent="0.2">
      <c r="A314" s="26" t="s">
        <v>323</v>
      </c>
      <c r="B314" s="22" t="s">
        <v>2076</v>
      </c>
      <c r="C314" s="442" t="s">
        <v>995</v>
      </c>
      <c r="D314" s="497" t="s">
        <v>995</v>
      </c>
      <c r="E314" s="442" t="s">
        <v>995</v>
      </c>
      <c r="F314" s="228" t="str">
        <f>IF(K314=1,"Punt behaald!","")</f>
        <v/>
      </c>
      <c r="G314" s="227"/>
      <c r="H314" s="1"/>
      <c r="I314" s="1"/>
      <c r="J314" s="36" t="str">
        <f>IF(C314="x","JUIST","FOUT")</f>
        <v>FOUT</v>
      </c>
      <c r="K314" s="5">
        <f>ABS(IF(J314="JUIST","1","0"))</f>
        <v>0</v>
      </c>
      <c r="L314" s="3">
        <v>1</v>
      </c>
      <c r="M314" s="3"/>
      <c r="N314" s="1"/>
    </row>
    <row r="315" spans="1:14" x14ac:dyDescent="0.2">
      <c r="A315" s="1"/>
      <c r="B315" s="1"/>
      <c r="C315" s="1"/>
      <c r="D315" s="1"/>
      <c r="E315" s="1"/>
      <c r="F315" s="1"/>
      <c r="G315" s="1"/>
      <c r="H315" s="1"/>
      <c r="I315" s="1"/>
      <c r="J315" s="1"/>
      <c r="K315" s="1"/>
      <c r="L315" s="3"/>
      <c r="M315" s="3"/>
      <c r="N315" s="1"/>
    </row>
    <row r="316" spans="1:14" ht="41.45" customHeight="1" x14ac:dyDescent="0.2">
      <c r="A316" s="1"/>
      <c r="B316" s="80" t="s">
        <v>2077</v>
      </c>
      <c r="C316" s="1"/>
      <c r="D316" s="1"/>
      <c r="E316" s="1"/>
      <c r="F316" s="1"/>
      <c r="G316" s="1"/>
      <c r="H316" s="1"/>
      <c r="I316" s="1"/>
      <c r="J316" s="1"/>
      <c r="K316" s="1"/>
      <c r="L316" s="3"/>
      <c r="M316" s="3"/>
      <c r="N316" s="1"/>
    </row>
    <row r="317" spans="1:14" x14ac:dyDescent="0.2">
      <c r="A317" s="1"/>
      <c r="B317" s="1"/>
      <c r="C317" s="1"/>
      <c r="D317" s="1"/>
      <c r="E317" s="1"/>
      <c r="F317" s="1"/>
      <c r="G317" s="1"/>
      <c r="H317" s="1"/>
      <c r="I317" s="1"/>
      <c r="J317" s="1"/>
      <c r="K317" s="1"/>
      <c r="L317" s="3"/>
      <c r="M317" s="3"/>
      <c r="N317" s="1"/>
    </row>
    <row r="318" spans="1:14" x14ac:dyDescent="0.2">
      <c r="A318" s="14"/>
      <c r="B318" s="14"/>
      <c r="C318" s="14"/>
      <c r="D318" s="14"/>
      <c r="E318" s="14"/>
      <c r="F318" s="14"/>
      <c r="G318" s="14"/>
      <c r="H318" s="14"/>
      <c r="I318" s="14"/>
      <c r="J318" s="1"/>
      <c r="K318" s="1"/>
      <c r="L318" s="3"/>
      <c r="M318" s="3"/>
      <c r="N318" s="1"/>
    </row>
    <row r="319" spans="1:14" x14ac:dyDescent="0.2">
      <c r="A319" s="1"/>
      <c r="B319" s="1"/>
      <c r="C319" s="1"/>
      <c r="D319" s="1"/>
      <c r="E319" s="1"/>
      <c r="F319" s="1"/>
      <c r="G319" s="1"/>
      <c r="H319" s="1"/>
      <c r="I319" s="1"/>
      <c r="J319" s="1"/>
      <c r="K319" s="1"/>
      <c r="L319" s="3"/>
      <c r="M319" s="3"/>
      <c r="N319" s="1"/>
    </row>
    <row r="320" spans="1:14" x14ac:dyDescent="0.2">
      <c r="A320" s="1" t="s">
        <v>324</v>
      </c>
      <c r="B320" s="61" t="s">
        <v>2078</v>
      </c>
      <c r="C320" s="62" t="s">
        <v>328</v>
      </c>
      <c r="D320" s="54" t="s">
        <v>329</v>
      </c>
      <c r="E320" s="54" t="s">
        <v>330</v>
      </c>
      <c r="F320" s="63" t="s">
        <v>330</v>
      </c>
      <c r="G320" s="1"/>
      <c r="H320" s="1"/>
      <c r="I320" s="1"/>
      <c r="J320" s="1"/>
      <c r="K320" s="1"/>
      <c r="L320" s="3"/>
      <c r="M320" s="3"/>
      <c r="N320" s="1"/>
    </row>
    <row r="321" spans="1:14" ht="13.5" thickBot="1" x14ac:dyDescent="0.25">
      <c r="A321" s="1"/>
      <c r="B321" s="1" t="s">
        <v>2079</v>
      </c>
      <c r="C321" s="59" t="s">
        <v>327</v>
      </c>
      <c r="D321" s="55" t="s">
        <v>326</v>
      </c>
      <c r="E321" s="521" t="s">
        <v>2087</v>
      </c>
      <c r="F321" s="522" t="s">
        <v>2088</v>
      </c>
      <c r="G321" s="1"/>
      <c r="H321" s="1"/>
      <c r="I321" s="1"/>
      <c r="J321" s="1"/>
      <c r="K321" s="1"/>
      <c r="L321" s="3"/>
      <c r="M321" s="3"/>
      <c r="N321" s="1"/>
    </row>
    <row r="322" spans="1:14" ht="13.5" thickTop="1" x14ac:dyDescent="0.2">
      <c r="A322" s="1"/>
      <c r="B322" s="1" t="s">
        <v>2080</v>
      </c>
      <c r="C322" s="56" t="s">
        <v>995</v>
      </c>
      <c r="D322" s="56" t="s">
        <v>995</v>
      </c>
      <c r="E322" s="56" t="s">
        <v>995</v>
      </c>
      <c r="F322" s="56" t="s">
        <v>995</v>
      </c>
      <c r="G322" s="1"/>
      <c r="H322" s="1"/>
      <c r="I322" s="1"/>
      <c r="J322" s="5" t="str">
        <f>IF(C322="x","JUIST","")</f>
        <v/>
      </c>
      <c r="K322" s="5">
        <f>ABS(IF(J322="JUIST","1","0"))</f>
        <v>0</v>
      </c>
      <c r="L322" s="3">
        <v>1</v>
      </c>
      <c r="M322" s="3"/>
      <c r="N322" s="1"/>
    </row>
    <row r="323" spans="1:14" x14ac:dyDescent="0.2">
      <c r="A323" s="1"/>
      <c r="B323" s="61" t="s">
        <v>2081</v>
      </c>
      <c r="C323" s="1"/>
      <c r="D323" s="1"/>
      <c r="E323" s="1"/>
      <c r="F323" s="1"/>
      <c r="G323" s="1"/>
      <c r="H323" s="1"/>
      <c r="I323" s="1"/>
      <c r="J323" s="5" t="str">
        <f>IF(D322="x","FOUT","")</f>
        <v/>
      </c>
      <c r="K323" s="5">
        <f>ABS(IF(J323="JUIST","1","0"))</f>
        <v>0</v>
      </c>
      <c r="L323" s="3"/>
      <c r="M323" s="3"/>
      <c r="N323" s="1"/>
    </row>
    <row r="324" spans="1:14" x14ac:dyDescent="0.2">
      <c r="A324" s="1"/>
      <c r="B324" s="1" t="s">
        <v>325</v>
      </c>
      <c r="C324" s="1"/>
      <c r="D324" s="1"/>
      <c r="E324" s="1"/>
      <c r="F324" s="1"/>
      <c r="G324" s="1"/>
      <c r="H324" s="1"/>
      <c r="I324" s="1"/>
      <c r="J324" s="5" t="str">
        <f>IF(E322="x","FOUT","")</f>
        <v/>
      </c>
      <c r="K324" s="5">
        <f>ABS(IF(J324="JUIST","1","0"))</f>
        <v>0</v>
      </c>
      <c r="L324" s="3"/>
      <c r="M324" s="3"/>
      <c r="N324" s="1"/>
    </row>
    <row r="325" spans="1:14" x14ac:dyDescent="0.2">
      <c r="A325" s="1"/>
      <c r="B325" s="1" t="s">
        <v>2082</v>
      </c>
      <c r="C325" s="1"/>
      <c r="D325" s="1"/>
      <c r="E325" s="1"/>
      <c r="F325" s="1"/>
      <c r="G325" s="1"/>
      <c r="H325" s="1"/>
      <c r="I325" s="1"/>
      <c r="J325" s="5" t="str">
        <f>IF(F322="x","FOUT","")</f>
        <v/>
      </c>
      <c r="K325" s="5">
        <f>ABS(IF(J325="JUIST","1","0"))</f>
        <v>0</v>
      </c>
      <c r="L325" s="3"/>
      <c r="M325" s="3"/>
      <c r="N325" s="1"/>
    </row>
    <row r="326" spans="1:14" x14ac:dyDescent="0.2">
      <c r="A326" s="1"/>
      <c r="B326" s="1"/>
      <c r="C326" s="1"/>
      <c r="D326" s="1"/>
      <c r="E326" s="1"/>
      <c r="F326" s="1"/>
      <c r="G326" s="1"/>
      <c r="H326" s="1"/>
      <c r="I326" s="1"/>
      <c r="J326" s="48" t="s">
        <v>995</v>
      </c>
      <c r="K326" s="1"/>
      <c r="L326" s="3"/>
      <c r="M326" s="3"/>
      <c r="N326" s="1"/>
    </row>
    <row r="327" spans="1:14" x14ac:dyDescent="0.2">
      <c r="A327" s="1"/>
      <c r="B327" s="80" t="s">
        <v>333</v>
      </c>
      <c r="C327" s="1"/>
      <c r="D327" s="1"/>
      <c r="E327" s="1"/>
      <c r="F327" s="1"/>
      <c r="G327" s="1"/>
      <c r="H327" s="1"/>
      <c r="I327" s="1"/>
      <c r="J327" s="1"/>
      <c r="K327" s="1"/>
      <c r="L327" s="3"/>
      <c r="M327" s="3"/>
      <c r="N327" s="1"/>
    </row>
    <row r="328" spans="1:14" x14ac:dyDescent="0.2">
      <c r="A328" s="1"/>
      <c r="B328" s="81" t="s">
        <v>895</v>
      </c>
      <c r="C328" s="1"/>
      <c r="D328" s="1"/>
      <c r="E328" s="1"/>
      <c r="F328" s="1"/>
      <c r="G328" s="1"/>
      <c r="H328" s="1"/>
      <c r="I328" s="1"/>
      <c r="J328" s="1"/>
      <c r="K328" s="1"/>
      <c r="L328" s="3"/>
      <c r="M328" s="3"/>
      <c r="N328" s="1"/>
    </row>
    <row r="329" spans="1:14" x14ac:dyDescent="0.2">
      <c r="A329" s="1"/>
      <c r="B329" s="81"/>
      <c r="C329" s="1"/>
      <c r="D329" s="1"/>
      <c r="E329" s="1"/>
      <c r="F329" s="1"/>
      <c r="G329" s="1"/>
      <c r="H329" s="1"/>
      <c r="I329" s="1"/>
      <c r="J329" s="1"/>
      <c r="K329" s="1"/>
      <c r="L329" s="3"/>
      <c r="M329" s="3"/>
      <c r="N329" s="1"/>
    </row>
    <row r="330" spans="1:14" x14ac:dyDescent="0.2">
      <c r="A330" s="1"/>
      <c r="B330" s="82" t="s">
        <v>1033</v>
      </c>
      <c r="C330" s="10" t="s">
        <v>995</v>
      </c>
      <c r="D330" s="1"/>
      <c r="E330" s="1"/>
      <c r="F330" s="1"/>
      <c r="G330" s="1"/>
      <c r="H330" s="1"/>
      <c r="I330" s="1"/>
      <c r="J330" s="1"/>
      <c r="K330" s="1"/>
      <c r="L330" s="3"/>
      <c r="M330" s="3"/>
      <c r="N330" s="1"/>
    </row>
    <row r="331" spans="1:14" x14ac:dyDescent="0.2">
      <c r="A331" s="1"/>
      <c r="B331" s="52" t="str">
        <f>J331</f>
        <v/>
      </c>
      <c r="C331" s="1"/>
      <c r="D331" s="1"/>
      <c r="E331" s="1"/>
      <c r="F331" s="1"/>
      <c r="G331" s="1"/>
      <c r="H331" s="1"/>
      <c r="I331" s="1"/>
      <c r="J331" s="5" t="str">
        <f>IF(C330="x","Het juiste antwoord is: A","")</f>
        <v/>
      </c>
      <c r="K331" s="1"/>
      <c r="L331" s="3"/>
      <c r="M331" s="3"/>
      <c r="N331" s="1"/>
    </row>
    <row r="332" spans="1:14" x14ac:dyDescent="0.2">
      <c r="A332" s="1"/>
      <c r="C332" s="1"/>
      <c r="D332" s="1"/>
      <c r="E332" s="1"/>
      <c r="F332" s="1"/>
      <c r="G332" s="1"/>
      <c r="H332" s="1"/>
      <c r="I332" s="1"/>
      <c r="J332" s="1"/>
      <c r="K332" s="1"/>
      <c r="L332" s="3"/>
      <c r="M332" s="3"/>
      <c r="N332" s="1"/>
    </row>
    <row r="333" spans="1:14" x14ac:dyDescent="0.2">
      <c r="A333" s="14"/>
      <c r="B333" s="14"/>
      <c r="C333" s="14"/>
      <c r="D333" s="14"/>
      <c r="E333" s="14"/>
      <c r="F333" s="14"/>
      <c r="G333" s="14"/>
      <c r="H333" s="14"/>
      <c r="I333" s="14"/>
      <c r="J333" s="1"/>
      <c r="K333" s="1"/>
      <c r="L333" s="3"/>
      <c r="M333" s="3"/>
      <c r="N333" s="1"/>
    </row>
    <row r="334" spans="1:14" x14ac:dyDescent="0.2">
      <c r="A334" s="1"/>
      <c r="B334" s="1"/>
      <c r="C334" s="1"/>
      <c r="D334" s="1"/>
      <c r="E334" s="1"/>
      <c r="F334" s="1"/>
      <c r="G334" s="1"/>
      <c r="H334" s="1"/>
      <c r="I334" s="1"/>
      <c r="J334" s="1"/>
      <c r="K334" s="1"/>
      <c r="L334" s="3"/>
      <c r="M334" s="3"/>
      <c r="N334" s="1"/>
    </row>
    <row r="335" spans="1:14" x14ac:dyDescent="0.2">
      <c r="A335" s="1" t="s">
        <v>334</v>
      </c>
      <c r="B335" s="61" t="s">
        <v>2083</v>
      </c>
      <c r="C335" s="62" t="s">
        <v>328</v>
      </c>
      <c r="D335" s="54" t="s">
        <v>329</v>
      </c>
      <c r="E335" s="54" t="s">
        <v>330</v>
      </c>
      <c r="F335" s="63" t="s">
        <v>330</v>
      </c>
      <c r="G335" s="1"/>
      <c r="H335" s="1"/>
      <c r="I335" s="1"/>
      <c r="J335" s="1"/>
      <c r="K335" s="1"/>
      <c r="L335" s="3"/>
      <c r="M335" s="3"/>
      <c r="N335" s="1"/>
    </row>
    <row r="336" spans="1:14" ht="13.5" thickBot="1" x14ac:dyDescent="0.25">
      <c r="A336" s="67"/>
      <c r="B336" s="519" t="s">
        <v>2084</v>
      </c>
      <c r="C336" s="59" t="s">
        <v>327</v>
      </c>
      <c r="D336" s="55" t="s">
        <v>326</v>
      </c>
      <c r="E336" s="521" t="s">
        <v>2087</v>
      </c>
      <c r="F336" s="522" t="s">
        <v>2088</v>
      </c>
      <c r="G336" s="1"/>
      <c r="H336" s="1"/>
      <c r="I336" s="1"/>
      <c r="J336" s="1"/>
      <c r="K336" s="1"/>
      <c r="L336" s="3"/>
      <c r="M336" s="3"/>
      <c r="N336" s="1"/>
    </row>
    <row r="337" spans="1:14" ht="13.5" thickTop="1" x14ac:dyDescent="0.2">
      <c r="A337" s="1"/>
      <c r="B337" s="61" t="s">
        <v>2085</v>
      </c>
      <c r="C337" s="425" t="s">
        <v>995</v>
      </c>
      <c r="D337" s="425" t="s">
        <v>995</v>
      </c>
      <c r="E337" s="425" t="s">
        <v>995</v>
      </c>
      <c r="F337" s="425" t="s">
        <v>995</v>
      </c>
      <c r="G337" s="1"/>
      <c r="H337" s="1"/>
      <c r="I337" s="1"/>
      <c r="J337" s="5" t="str">
        <f>IF(C337="x","FOUT","")</f>
        <v/>
      </c>
      <c r="K337" s="5">
        <f>ABS(IF(J337="JUIST","1","0"))</f>
        <v>0</v>
      </c>
      <c r="L337" s="3"/>
      <c r="M337" s="3"/>
      <c r="N337" s="1"/>
    </row>
    <row r="338" spans="1:14" x14ac:dyDescent="0.2">
      <c r="A338" s="1"/>
      <c r="B338" t="s">
        <v>2086</v>
      </c>
      <c r="C338" s="1"/>
      <c r="D338" s="1"/>
      <c r="E338" s="1"/>
      <c r="F338" s="1"/>
      <c r="G338" s="1"/>
      <c r="H338" s="1"/>
      <c r="I338" s="1"/>
      <c r="J338" s="5" t="str">
        <f>IF(D337="x","FOUT","")</f>
        <v/>
      </c>
      <c r="K338" s="5">
        <f>ABS(IF(J338="JUIST","1","0"))</f>
        <v>0</v>
      </c>
      <c r="L338" s="3"/>
      <c r="M338" s="3"/>
      <c r="N338" s="1"/>
    </row>
    <row r="339" spans="1:14" x14ac:dyDescent="0.2">
      <c r="A339" s="1"/>
      <c r="B339" s="1" t="s">
        <v>995</v>
      </c>
      <c r="C339" s="1"/>
      <c r="D339" s="1"/>
      <c r="E339" s="1"/>
      <c r="F339" s="1"/>
      <c r="G339" s="1"/>
      <c r="H339" s="1"/>
      <c r="I339" s="1"/>
      <c r="J339" s="5" t="str">
        <f>IF(E337="x","FOUT","")</f>
        <v/>
      </c>
      <c r="K339" s="5">
        <f>ABS(IF(J339="JUIST","1","0"))</f>
        <v>0</v>
      </c>
      <c r="L339" s="430" t="s">
        <v>995</v>
      </c>
      <c r="M339" s="3"/>
      <c r="N339" s="1"/>
    </row>
    <row r="340" spans="1:14" x14ac:dyDescent="0.2">
      <c r="A340" s="1"/>
      <c r="B340" s="80" t="s">
        <v>333</v>
      </c>
      <c r="C340" s="1"/>
      <c r="D340" s="1"/>
      <c r="E340" s="1"/>
      <c r="F340" s="1"/>
      <c r="G340" s="1"/>
      <c r="H340" s="1"/>
      <c r="I340" s="1"/>
      <c r="J340" s="5" t="str">
        <f>IF(F337="x","JUIST","")</f>
        <v/>
      </c>
      <c r="K340" s="5">
        <f>ABS(IF(J340="JUIST","1","0"))</f>
        <v>0</v>
      </c>
      <c r="L340" s="3">
        <v>1</v>
      </c>
      <c r="M340" s="3"/>
      <c r="N340" s="1"/>
    </row>
    <row r="341" spans="1:14" x14ac:dyDescent="0.2">
      <c r="A341" s="1"/>
      <c r="B341" s="81" t="s">
        <v>895</v>
      </c>
      <c r="C341" s="1"/>
      <c r="D341" s="1"/>
      <c r="E341" s="1"/>
      <c r="F341" s="1"/>
      <c r="G341" s="1"/>
      <c r="H341" s="1"/>
      <c r="I341" s="1"/>
      <c r="J341" s="48" t="s">
        <v>995</v>
      </c>
      <c r="K341" s="1"/>
      <c r="L341" s="3"/>
      <c r="M341" s="3"/>
      <c r="N341" s="1"/>
    </row>
    <row r="342" spans="1:14" x14ac:dyDescent="0.2">
      <c r="A342" s="1"/>
      <c r="B342" s="1"/>
      <c r="C342" s="1"/>
      <c r="D342" s="1"/>
      <c r="E342" s="1"/>
      <c r="F342" s="1"/>
      <c r="G342" s="1"/>
      <c r="H342" s="1"/>
      <c r="I342" s="1"/>
      <c r="J342" s="79"/>
      <c r="K342" s="1"/>
      <c r="L342" s="3"/>
      <c r="M342" s="3"/>
      <c r="N342" s="1"/>
    </row>
    <row r="343" spans="1:14" x14ac:dyDescent="0.2">
      <c r="A343" s="1"/>
      <c r="B343" s="82" t="s">
        <v>1033</v>
      </c>
      <c r="C343" s="318" t="s">
        <v>995</v>
      </c>
      <c r="D343" s="1"/>
      <c r="E343" s="1"/>
      <c r="F343" s="1"/>
      <c r="G343" s="1"/>
      <c r="H343" s="1"/>
      <c r="I343" s="1"/>
      <c r="J343" s="1"/>
      <c r="K343" s="1"/>
      <c r="L343" s="3"/>
      <c r="M343" s="3"/>
      <c r="N343" s="1"/>
    </row>
    <row r="344" spans="1:14" x14ac:dyDescent="0.2">
      <c r="A344" s="1"/>
      <c r="B344" s="52" t="str">
        <f>J344</f>
        <v/>
      </c>
      <c r="C344" s="1"/>
      <c r="D344" s="1"/>
      <c r="E344" s="1"/>
      <c r="F344" s="1"/>
      <c r="G344" s="1"/>
      <c r="H344" s="1"/>
      <c r="I344" s="1"/>
      <c r="J344" s="5" t="str">
        <f>IF(C343="x","Het juiste antwoord is: D","")</f>
        <v/>
      </c>
      <c r="K344" s="1"/>
      <c r="L344" s="3"/>
      <c r="M344" s="3"/>
      <c r="N344" s="1"/>
    </row>
    <row r="345" spans="1:14" x14ac:dyDescent="0.2">
      <c r="A345" s="1"/>
      <c r="B345" s="1"/>
      <c r="C345" s="1"/>
      <c r="D345" s="1"/>
      <c r="E345" s="1"/>
      <c r="F345" s="1"/>
      <c r="G345" s="1"/>
      <c r="H345" s="1"/>
      <c r="I345" s="1"/>
      <c r="J345" s="79"/>
      <c r="K345" s="1"/>
      <c r="L345" s="3"/>
      <c r="M345" s="3"/>
      <c r="N345" s="1"/>
    </row>
    <row r="346" spans="1:14" x14ac:dyDescent="0.2">
      <c r="A346" s="14"/>
      <c r="B346" s="14"/>
      <c r="C346" s="14"/>
      <c r="D346" s="14"/>
      <c r="E346" s="14"/>
      <c r="F346" s="14"/>
      <c r="G346" s="14"/>
      <c r="H346" s="14"/>
      <c r="I346" s="14"/>
      <c r="J346" s="1"/>
      <c r="K346" s="1"/>
      <c r="L346" s="3"/>
      <c r="M346" s="3"/>
      <c r="N346" s="1"/>
    </row>
    <row r="347" spans="1:14" x14ac:dyDescent="0.2">
      <c r="A347" s="1"/>
      <c r="B347" s="1"/>
      <c r="C347" s="1"/>
      <c r="D347" s="1"/>
      <c r="E347" s="1"/>
      <c r="F347" s="1"/>
      <c r="G347" s="1"/>
      <c r="H347" s="1"/>
      <c r="I347" s="1"/>
      <c r="J347" s="1"/>
      <c r="K347" s="1"/>
      <c r="L347" s="3"/>
      <c r="M347" s="3"/>
      <c r="N347" s="1"/>
    </row>
    <row r="348" spans="1:14" x14ac:dyDescent="0.2">
      <c r="A348" s="1"/>
      <c r="B348" s="1"/>
      <c r="C348" s="68" t="s">
        <v>992</v>
      </c>
      <c r="D348" s="1"/>
      <c r="E348" s="1"/>
      <c r="F348" s="1"/>
      <c r="G348" s="1"/>
      <c r="H348" s="1"/>
      <c r="I348" s="1"/>
      <c r="J348" s="1"/>
      <c r="K348" s="1"/>
      <c r="L348" s="3"/>
      <c r="M348" s="3"/>
      <c r="N348" s="1"/>
    </row>
    <row r="349" spans="1:14" x14ac:dyDescent="0.2">
      <c r="A349" s="1" t="s">
        <v>340</v>
      </c>
      <c r="B349" s="1" t="s">
        <v>338</v>
      </c>
      <c r="D349" s="1"/>
      <c r="E349" s="1"/>
      <c r="F349" s="1"/>
      <c r="G349" s="1"/>
      <c r="H349" s="1"/>
      <c r="I349" s="1"/>
      <c r="J349" s="1"/>
      <c r="K349" s="1"/>
      <c r="L349" s="3"/>
      <c r="M349" s="3"/>
      <c r="N349" s="1"/>
    </row>
    <row r="350" spans="1:14" x14ac:dyDescent="0.2">
      <c r="A350" s="1"/>
      <c r="B350" s="67" t="s">
        <v>2655</v>
      </c>
      <c r="C350" s="1"/>
      <c r="D350" s="498" t="s">
        <v>995</v>
      </c>
      <c r="E350" s="1"/>
      <c r="F350" s="1"/>
      <c r="G350" s="1" t="s">
        <v>341</v>
      </c>
      <c r="H350" s="1"/>
      <c r="I350" s="1"/>
      <c r="J350" s="6" t="e">
        <f>SEARCH("strategie",D350)</f>
        <v>#VALUE!</v>
      </c>
      <c r="K350" s="1"/>
      <c r="L350" s="3"/>
      <c r="M350" s="3"/>
      <c r="N350" s="1"/>
    </row>
    <row r="351" spans="1:14" x14ac:dyDescent="0.2">
      <c r="A351" s="1"/>
      <c r="B351" s="1" t="s">
        <v>339</v>
      </c>
      <c r="C351" s="1"/>
      <c r="D351" s="1"/>
      <c r="E351" s="3" t="s">
        <v>336</v>
      </c>
      <c r="F351" s="1"/>
      <c r="G351" s="1"/>
      <c r="H351" s="1"/>
      <c r="I351" s="1"/>
      <c r="J351" s="6">
        <f>ABS(ISERR(J350))</f>
        <v>1</v>
      </c>
      <c r="K351" s="1"/>
      <c r="L351" s="3"/>
      <c r="M351" s="3"/>
      <c r="N351" s="1"/>
    </row>
    <row r="352" spans="1:14" x14ac:dyDescent="0.2">
      <c r="A352" s="1"/>
      <c r="B352" s="1"/>
      <c r="C352" s="1"/>
      <c r="D352" s="1"/>
      <c r="E352" s="1"/>
      <c r="F352" s="430" t="s">
        <v>2657</v>
      </c>
      <c r="G352" s="1"/>
      <c r="H352" s="1"/>
      <c r="I352" s="1"/>
      <c r="J352" s="1"/>
      <c r="K352" s="1"/>
      <c r="L352" s="3"/>
      <c r="M352" s="3"/>
      <c r="N352" s="1"/>
    </row>
    <row r="353" spans="1:14" x14ac:dyDescent="0.2">
      <c r="A353" s="1"/>
      <c r="B353" s="81" t="s">
        <v>335</v>
      </c>
      <c r="C353" s="1"/>
      <c r="D353" s="1"/>
      <c r="E353" s="1"/>
      <c r="F353" s="1"/>
      <c r="G353" s="430" t="s">
        <v>2658</v>
      </c>
      <c r="H353" s="1"/>
      <c r="I353" s="1"/>
      <c r="J353" s="5" t="str">
        <f>IF(J351=1,"FOUT","JUIST")</f>
        <v>FOUT</v>
      </c>
      <c r="K353" s="5">
        <f>ABS(IF(J353="JUIST","1","0"))</f>
        <v>0</v>
      </c>
      <c r="L353" s="3">
        <v>1</v>
      </c>
      <c r="M353" s="3"/>
      <c r="N353" s="1"/>
    </row>
    <row r="354" spans="1:14" x14ac:dyDescent="0.2">
      <c r="A354" s="1"/>
      <c r="B354" s="81" t="s">
        <v>895</v>
      </c>
      <c r="C354" s="1" t="s">
        <v>342</v>
      </c>
      <c r="D354" s="1"/>
      <c r="E354" s="1"/>
      <c r="F354" s="1"/>
      <c r="G354" s="1"/>
      <c r="H354" s="3" t="s">
        <v>337</v>
      </c>
      <c r="I354" s="1"/>
      <c r="J354" s="1"/>
      <c r="K354" s="1"/>
      <c r="L354" s="3"/>
      <c r="M354" s="3"/>
      <c r="N354" s="1"/>
    </row>
    <row r="355" spans="1:14" x14ac:dyDescent="0.2">
      <c r="A355" s="1"/>
      <c r="B355" s="1"/>
      <c r="C355" s="1"/>
      <c r="D355" s="1"/>
      <c r="E355" s="1"/>
      <c r="F355" s="1"/>
      <c r="G355" s="1"/>
      <c r="H355" s="3"/>
      <c r="I355" s="1"/>
      <c r="J355" s="1"/>
      <c r="K355" s="1"/>
      <c r="L355" s="3"/>
      <c r="M355" s="3"/>
      <c r="N355" s="1"/>
    </row>
    <row r="356" spans="1:14" x14ac:dyDescent="0.2">
      <c r="A356" s="1"/>
      <c r="B356" s="1"/>
      <c r="C356" s="1"/>
      <c r="D356" s="1"/>
      <c r="E356" s="1"/>
      <c r="F356" s="1"/>
      <c r="G356" s="1"/>
      <c r="H356" s="1"/>
      <c r="I356" s="1"/>
      <c r="J356" s="1"/>
      <c r="K356" s="1"/>
      <c r="L356" s="3"/>
      <c r="M356" s="3"/>
      <c r="N356" s="1"/>
    </row>
    <row r="357" spans="1:14" x14ac:dyDescent="0.2">
      <c r="A357" s="1"/>
      <c r="B357" s="82" t="s">
        <v>1033</v>
      </c>
      <c r="C357" s="318" t="s">
        <v>995</v>
      </c>
      <c r="D357" s="1"/>
      <c r="E357" s="1"/>
      <c r="F357" s="1"/>
      <c r="G357" s="1"/>
      <c r="H357" s="1"/>
      <c r="I357" s="1"/>
      <c r="J357" s="1"/>
      <c r="K357" s="1"/>
      <c r="L357" s="3"/>
      <c r="M357" s="3"/>
      <c r="N357" s="1"/>
    </row>
    <row r="358" spans="1:14" x14ac:dyDescent="0.2">
      <c r="A358" s="1"/>
      <c r="B358" s="52" t="str">
        <f>J358</f>
        <v/>
      </c>
      <c r="C358" s="1"/>
      <c r="D358" s="1"/>
      <c r="E358" s="1"/>
      <c r="F358" s="1"/>
      <c r="G358" s="1"/>
      <c r="H358" s="1"/>
      <c r="I358" s="1"/>
      <c r="J358" s="5" t="str">
        <f>IF(C357="x","Het juiste antwoord is: HRM-strategie","")</f>
        <v/>
      </c>
      <c r="K358" s="1"/>
      <c r="L358" s="3"/>
      <c r="M358" s="3"/>
      <c r="N358" s="1"/>
    </row>
    <row r="359" spans="1:14" x14ac:dyDescent="0.2">
      <c r="A359" s="1"/>
      <c r="B359" s="1"/>
      <c r="C359" s="1"/>
      <c r="D359" s="1"/>
      <c r="E359" s="1"/>
      <c r="F359" s="1"/>
      <c r="G359" s="1"/>
      <c r="H359" s="1"/>
      <c r="I359" s="1"/>
      <c r="J359" s="1"/>
      <c r="K359" s="1"/>
      <c r="L359" s="3"/>
      <c r="M359" s="3"/>
      <c r="N359" s="1"/>
    </row>
    <row r="360" spans="1:14" x14ac:dyDescent="0.2">
      <c r="A360" s="14"/>
      <c r="B360" s="14"/>
      <c r="C360" s="14"/>
      <c r="D360" s="14"/>
      <c r="E360" s="14"/>
      <c r="F360" s="14"/>
      <c r="G360" s="14"/>
      <c r="H360" s="14"/>
      <c r="I360" s="14"/>
      <c r="J360" s="14"/>
      <c r="K360" s="14"/>
      <c r="L360" s="104"/>
      <c r="M360" s="104"/>
      <c r="N360" s="1"/>
    </row>
    <row r="361" spans="1:14" ht="13.5" thickBot="1" x14ac:dyDescent="0.25">
      <c r="A361" s="1"/>
      <c r="B361" s="1"/>
      <c r="C361" s="1"/>
      <c r="D361" s="1"/>
      <c r="E361" s="1"/>
      <c r="F361" s="1"/>
      <c r="G361" s="1"/>
      <c r="H361" s="1"/>
      <c r="I361" s="1"/>
      <c r="J361" s="1"/>
      <c r="K361" s="1"/>
      <c r="L361" s="12" t="s">
        <v>256</v>
      </c>
      <c r="M361" s="79"/>
      <c r="N361" s="1"/>
    </row>
    <row r="362" spans="1:14" ht="14.25" thickTop="1" thickBot="1" x14ac:dyDescent="0.25">
      <c r="A362" s="1"/>
      <c r="B362" s="485" t="s">
        <v>2656</v>
      </c>
      <c r="C362" s="73">
        <f>L362</f>
        <v>39</v>
      </c>
      <c r="D362" s="1"/>
      <c r="E362" s="1"/>
      <c r="F362" s="1"/>
      <c r="G362" s="1"/>
      <c r="H362" s="1"/>
      <c r="I362" s="1"/>
      <c r="J362" s="16" t="s">
        <v>343</v>
      </c>
      <c r="K362" s="69">
        <f>SUM(K10:K358)</f>
        <v>0</v>
      </c>
      <c r="L362" s="70">
        <f>SUM(L10:L358)</f>
        <v>39</v>
      </c>
      <c r="M362" s="79"/>
      <c r="N362" s="1"/>
    </row>
    <row r="363" spans="1:14" ht="13.5" thickTop="1" x14ac:dyDescent="0.2">
      <c r="A363" s="1"/>
      <c r="B363" s="73" t="s">
        <v>2089</v>
      </c>
      <c r="C363" s="73">
        <f>L362/100</f>
        <v>0.39</v>
      </c>
      <c r="D363" s="1"/>
      <c r="E363" s="1"/>
      <c r="F363" s="1"/>
      <c r="G363" s="1"/>
      <c r="H363" s="1"/>
      <c r="I363" s="1"/>
      <c r="J363" s="16" t="s">
        <v>344</v>
      </c>
      <c r="K363" s="71">
        <f>L362</f>
        <v>39</v>
      </c>
      <c r="L363" s="3"/>
      <c r="M363" s="3"/>
      <c r="N363" s="1"/>
    </row>
    <row r="364" spans="1:14" ht="13.5" thickBot="1" x14ac:dyDescent="0.25">
      <c r="A364" s="1"/>
      <c r="B364" s="54" t="s">
        <v>2137</v>
      </c>
      <c r="C364" s="74">
        <f>K362/C363</f>
        <v>0</v>
      </c>
      <c r="D364" s="1"/>
      <c r="E364" s="1"/>
      <c r="F364" s="1"/>
      <c r="G364" s="1"/>
      <c r="H364" s="1"/>
      <c r="I364" s="1"/>
      <c r="J364" s="1" t="s">
        <v>257</v>
      </c>
      <c r="K364" s="1">
        <f>(100/K363)</f>
        <v>2.5641025641025643</v>
      </c>
      <c r="L364" s="3"/>
      <c r="M364" s="3"/>
      <c r="N364" s="1"/>
    </row>
    <row r="365" spans="1:14" ht="19.5" thickTop="1" thickBot="1" x14ac:dyDescent="0.3">
      <c r="A365" s="1"/>
      <c r="B365" s="75" t="s">
        <v>266</v>
      </c>
      <c r="C365" s="78">
        <f>K365</f>
        <v>0</v>
      </c>
      <c r="D365" s="77" t="str">
        <f>J367</f>
        <v/>
      </c>
      <c r="E365" s="76" t="str">
        <f>IF(D365="Gefeliciteerd!",L367,"")</f>
        <v/>
      </c>
      <c r="F365" s="1"/>
      <c r="G365" s="1"/>
      <c r="H365" s="1"/>
      <c r="I365" s="1"/>
      <c r="J365" s="1" t="s">
        <v>345</v>
      </c>
      <c r="K365" s="72">
        <f>K362*K364/10</f>
        <v>0</v>
      </c>
      <c r="L365" s="3"/>
      <c r="M365" s="3"/>
      <c r="N365" s="1"/>
    </row>
    <row r="366" spans="1:14" ht="13.5" thickTop="1" x14ac:dyDescent="0.2">
      <c r="A366" s="1"/>
      <c r="B366" s="1"/>
      <c r="C366" s="17"/>
      <c r="D366" s="1"/>
      <c r="E366" s="1"/>
      <c r="F366" s="1"/>
      <c r="G366" s="1"/>
      <c r="H366" s="1"/>
      <c r="I366" s="1"/>
      <c r="J366" s="1"/>
      <c r="K366" s="1"/>
      <c r="L366" s="3"/>
      <c r="M366" s="3"/>
      <c r="N366" s="1"/>
    </row>
    <row r="367" spans="1:14" x14ac:dyDescent="0.2">
      <c r="A367" s="1"/>
      <c r="B367" s="1"/>
      <c r="C367" s="1"/>
      <c r="D367" s="1"/>
      <c r="E367" s="1"/>
      <c r="F367" s="1"/>
      <c r="G367" s="1"/>
      <c r="H367" s="1"/>
      <c r="I367" s="1"/>
      <c r="J367" s="6" t="str">
        <f>IF(C365&gt;5.5,L367,"")</f>
        <v/>
      </c>
      <c r="L367" s="3" t="s">
        <v>267</v>
      </c>
      <c r="M367" s="3"/>
      <c r="N367" s="1"/>
    </row>
    <row r="368" spans="1:14" x14ac:dyDescent="0.2">
      <c r="A368" s="1"/>
      <c r="B368" s="1"/>
      <c r="C368" s="1"/>
      <c r="D368" s="1"/>
      <c r="E368" s="1"/>
      <c r="F368" s="1"/>
      <c r="G368" s="1"/>
      <c r="H368" s="1"/>
      <c r="I368" s="1"/>
      <c r="J368" s="1"/>
      <c r="K368" s="1"/>
      <c r="L368" s="3"/>
      <c r="M368" s="3"/>
      <c r="N368" s="1"/>
    </row>
    <row r="369" spans="1:14" x14ac:dyDescent="0.2">
      <c r="A369" s="1"/>
      <c r="B369" s="1"/>
      <c r="C369" s="1"/>
      <c r="D369" s="1"/>
      <c r="E369" s="1"/>
      <c r="F369" s="1"/>
      <c r="G369" s="1"/>
      <c r="H369" s="1"/>
      <c r="I369" s="1"/>
      <c r="J369" s="1"/>
      <c r="K369" s="1"/>
      <c r="L369" s="3"/>
      <c r="M369" s="3"/>
      <c r="N369" s="1"/>
    </row>
    <row r="370" spans="1:14" x14ac:dyDescent="0.2">
      <c r="A370" s="1"/>
      <c r="B370" s="1"/>
      <c r="C370" s="1"/>
      <c r="D370" s="1"/>
      <c r="E370" s="1"/>
      <c r="F370" s="1"/>
      <c r="G370" s="1"/>
      <c r="H370" s="1"/>
      <c r="I370" s="1"/>
      <c r="J370" s="1"/>
      <c r="K370" s="1"/>
      <c r="L370" s="3"/>
      <c r="M370" s="3"/>
      <c r="N370" s="1"/>
    </row>
    <row r="371" spans="1:14" x14ac:dyDescent="0.2">
      <c r="A371" s="1"/>
      <c r="B371" s="1"/>
      <c r="C371" s="1"/>
      <c r="D371" s="1"/>
      <c r="E371" s="1"/>
      <c r="F371" s="1"/>
      <c r="G371" s="1"/>
      <c r="H371" s="1"/>
      <c r="I371" s="1"/>
      <c r="J371" s="1"/>
      <c r="K371" s="1"/>
      <c r="L371" s="3"/>
      <c r="M371" s="3"/>
      <c r="N371" s="1"/>
    </row>
    <row r="372" spans="1:14" x14ac:dyDescent="0.2">
      <c r="A372" s="1"/>
      <c r="B372" s="1"/>
      <c r="C372" s="1"/>
      <c r="D372" s="1"/>
      <c r="E372" s="1"/>
      <c r="F372" s="1"/>
      <c r="G372" s="1"/>
      <c r="H372" s="1"/>
      <c r="I372" s="1"/>
      <c r="J372" s="1"/>
      <c r="K372" s="1"/>
      <c r="L372" s="3"/>
      <c r="M372" s="3"/>
      <c r="N372" s="1"/>
    </row>
    <row r="373" spans="1:14" x14ac:dyDescent="0.2">
      <c r="A373" s="1"/>
      <c r="B373" s="1"/>
      <c r="C373" s="1"/>
      <c r="D373" s="1"/>
      <c r="E373" s="1"/>
      <c r="F373" s="1"/>
      <c r="G373" s="1"/>
      <c r="H373" s="1"/>
      <c r="I373" s="1"/>
      <c r="J373" s="1"/>
      <c r="K373" s="1"/>
      <c r="L373" s="3"/>
      <c r="M373" s="3"/>
      <c r="N373" s="1"/>
    </row>
    <row r="374" spans="1:14" x14ac:dyDescent="0.2">
      <c r="A374" s="1"/>
      <c r="B374" s="1"/>
      <c r="C374" s="1"/>
      <c r="D374" s="1"/>
      <c r="E374" s="1"/>
      <c r="F374" s="1"/>
      <c r="G374" s="1"/>
      <c r="H374" s="1"/>
      <c r="I374" s="1"/>
      <c r="J374" s="1"/>
      <c r="K374" s="1"/>
      <c r="L374" s="3"/>
      <c r="M374" s="3"/>
      <c r="N374" s="1"/>
    </row>
  </sheetData>
  <sheetProtection password="DFAF" sheet="1" objects="1" scenarios="1"/>
  <phoneticPr fontId="2" type="noConversion"/>
  <conditionalFormatting sqref="E35">
    <cfRule type="cellIs" dxfId="557" priority="5" stopIfTrue="1" operator="equal">
      <formula>"competenties"</formula>
    </cfRule>
    <cfRule type="cellIs" dxfId="556" priority="6" stopIfTrue="1" operator="equal">
      <formula>"competentie"</formula>
    </cfRule>
  </conditionalFormatting>
  <conditionalFormatting sqref="B358 B278 B17 B53 B67 B83 B94 B108 B166 B181 B205 B225 B240 B255 B267 B295 B344 B331">
    <cfRule type="cellIs" dxfId="555" priority="7" stopIfTrue="1" operator="notEqual">
      <formula>$J$16</formula>
    </cfRule>
  </conditionalFormatting>
  <conditionalFormatting sqref="D350">
    <cfRule type="cellIs" dxfId="554" priority="8" stopIfTrue="1" operator="equal">
      <formula>"HRM-strategie"</formula>
    </cfRule>
    <cfRule type="cellIs" dxfId="553" priority="9" stopIfTrue="1" operator="equal">
      <formula>"personeelsstrategie"</formula>
    </cfRule>
    <cfRule type="cellIs" dxfId="552" priority="10" stopIfTrue="1" operator="equal">
      <formula>"strategie"</formula>
    </cfRule>
  </conditionalFormatting>
  <conditionalFormatting sqref="D365">
    <cfRule type="cellIs" dxfId="551" priority="11" stopIfTrue="1" operator="equal">
      <formula>"gefeliciteerd!"</formula>
    </cfRule>
  </conditionalFormatting>
  <conditionalFormatting sqref="E128:E134">
    <cfRule type="cellIs" dxfId="550" priority="12" stopIfTrue="1" operator="equal">
      <formula>"JUIST"</formula>
    </cfRule>
    <cfRule type="cellIs" dxfId="549" priority="13" stopIfTrue="1" operator="equal">
      <formula>"FOUT"</formula>
    </cfRule>
  </conditionalFormatting>
  <conditionalFormatting sqref="D261 D91 C175 C177:C178 D201 D198:D199 C222 C219:C220 C235:C237 C249:C250 C252 E273 C290:C292 D322:F322 F337 C337:D337 D128 C129:C130 C133 D131:D132 D134 D22:D23 C24 C306:D306 D307:E307 C308:C310 D313 D314:E314 C312:C313 E308:E310 E312 C311:D311">
    <cfRule type="cellIs" dxfId="548" priority="14" stopIfTrue="1" operator="equal">
      <formula>"x"</formula>
    </cfRule>
  </conditionalFormatting>
  <conditionalFormatting sqref="E261 E91 C176 D200 C221 C234 C251 D273 C289 C322 E337 C128 D129:D130 D133 C131:C132 C134 C22:C23 D24">
    <cfRule type="cellIs" dxfId="547" priority="15" stopIfTrue="1" operator="equal">
      <formula>"x"</formula>
    </cfRule>
  </conditionalFormatting>
  <conditionalFormatting sqref="H188 D143 D152 D188">
    <cfRule type="cellIs" dxfId="546" priority="16" stopIfTrue="1" operator="equal">
      <formula>"d"</formula>
    </cfRule>
  </conditionalFormatting>
  <conditionalFormatting sqref="H186 D186">
    <cfRule type="cellIs" dxfId="545" priority="17" stopIfTrue="1" operator="equal">
      <formula>"s"</formula>
    </cfRule>
  </conditionalFormatting>
  <conditionalFormatting sqref="H187 D187">
    <cfRule type="cellIs" dxfId="544" priority="18" stopIfTrue="1" operator="equal">
      <formula>"v"</formula>
    </cfRule>
  </conditionalFormatting>
  <conditionalFormatting sqref="H189 D189">
    <cfRule type="cellIs" dxfId="543" priority="19" stopIfTrue="1" operator="equal">
      <formula>"m"</formula>
    </cfRule>
  </conditionalFormatting>
  <conditionalFormatting sqref="D274 C105 E262">
    <cfRule type="cellIs" dxfId="542" priority="20" stopIfTrue="1" operator="equal">
      <formula>"juist"</formula>
    </cfRule>
  </conditionalFormatting>
  <conditionalFormatting sqref="D47 D62:D64 E141:E142 D77:D79 D49:D50 D175 D177:D178 E198:E199 E201 D222 D219:D220 D235:D237 D249:D250 D252 D290:D292">
    <cfRule type="cellIs" dxfId="541" priority="21" stopIfTrue="1" operator="equal">
      <formula>"FOUT"</formula>
    </cfRule>
  </conditionalFormatting>
  <conditionalFormatting sqref="D61 D80 D48 E138:E140 E143:E144 D176 D221 D234 D251 D289">
    <cfRule type="cellIs" dxfId="540" priority="22" stopIfTrue="1" operator="equal">
      <formula>"JUIST"</formula>
    </cfRule>
  </conditionalFormatting>
  <conditionalFormatting sqref="D138 D147">
    <cfRule type="cellIs" dxfId="539" priority="23" stopIfTrue="1" operator="equal">
      <formula>"c"</formula>
    </cfRule>
  </conditionalFormatting>
  <conditionalFormatting sqref="D139 D148">
    <cfRule type="cellIs" dxfId="538" priority="24" stopIfTrue="1" operator="equal">
      <formula>"b"</formula>
    </cfRule>
  </conditionalFormatting>
  <conditionalFormatting sqref="D140 D149">
    <cfRule type="cellIs" dxfId="537" priority="25" stopIfTrue="1" operator="equal">
      <formula>"e"</formula>
    </cfRule>
  </conditionalFormatting>
  <conditionalFormatting sqref="D144 D153">
    <cfRule type="cellIs" dxfId="536" priority="26" stopIfTrue="1" operator="equal">
      <formula>"a"</formula>
    </cfRule>
  </conditionalFormatting>
  <conditionalFormatting sqref="D141:D142">
    <cfRule type="cellIs" dxfId="535" priority="27" stopIfTrue="1" operator="between">
      <formula>"a"</formula>
      <formula>"z"</formula>
    </cfRule>
  </conditionalFormatting>
  <conditionalFormatting sqref="D150:D151">
    <cfRule type="cellIs" dxfId="534" priority="28" stopIfTrue="1" operator="equal">
      <formula>"N.v.t.!"</formula>
    </cfRule>
  </conditionalFormatting>
  <conditionalFormatting sqref="B163">
    <cfRule type="cellIs" dxfId="533" priority="29" stopIfTrue="1" operator="equal">
      <formula>"regelkring"</formula>
    </cfRule>
    <cfRule type="cellIs" dxfId="532" priority="30" stopIfTrue="1" operator="equal">
      <formula>"beheersingsproces"</formula>
    </cfRule>
  </conditionalFormatting>
  <conditionalFormatting sqref="E200">
    <cfRule type="cellIs" dxfId="531" priority="31" stopIfTrue="1" operator="equal">
      <formula>"JUISt"</formula>
    </cfRule>
  </conditionalFormatting>
  <conditionalFormatting sqref="D262 E274">
    <cfRule type="cellIs" dxfId="530" priority="32" stopIfTrue="1" operator="equal">
      <formula>"fout"</formula>
    </cfRule>
  </conditionalFormatting>
  <conditionalFormatting sqref="B39">
    <cfRule type="expression" dxfId="529" priority="33" stopIfTrue="1">
      <formula>$C$38="x"</formula>
    </cfRule>
  </conditionalFormatting>
  <conditionalFormatting sqref="B12 B36">
    <cfRule type="cellIs" dxfId="528" priority="34" stopIfTrue="1" operator="equal">
      <formula>"juist"</formula>
    </cfRule>
  </conditionalFormatting>
  <conditionalFormatting sqref="E306">
    <cfRule type="expression" dxfId="527" priority="35" stopIfTrue="1">
      <formula>$M$306=1</formula>
    </cfRule>
  </conditionalFormatting>
  <conditionalFormatting sqref="C307">
    <cfRule type="expression" dxfId="526" priority="36" stopIfTrue="1">
      <formula>$M$307=1</formula>
    </cfRule>
  </conditionalFormatting>
  <conditionalFormatting sqref="D308">
    <cfRule type="expression" dxfId="525" priority="37" stopIfTrue="1">
      <formula>$M$308=1</formula>
    </cfRule>
  </conditionalFormatting>
  <conditionalFormatting sqref="C314">
    <cfRule type="expression" dxfId="524" priority="38" stopIfTrue="1">
      <formula>$K$314=1</formula>
    </cfRule>
  </conditionalFormatting>
  <conditionalFormatting sqref="D312">
    <cfRule type="expression" dxfId="523" priority="39" stopIfTrue="1">
      <formula>$M$312=1</formula>
    </cfRule>
  </conditionalFormatting>
  <conditionalFormatting sqref="D309">
    <cfRule type="expression" dxfId="522" priority="40" stopIfTrue="1">
      <formula>$M$309=1</formula>
    </cfRule>
  </conditionalFormatting>
  <conditionalFormatting sqref="D310">
    <cfRule type="expression" dxfId="521" priority="41" stopIfTrue="1">
      <formula>$M$310=1</formula>
    </cfRule>
  </conditionalFormatting>
  <conditionalFormatting sqref="E311 E313">
    <cfRule type="expression" dxfId="520" priority="42" stopIfTrue="1">
      <formula>$M$313=1</formula>
    </cfRule>
  </conditionalFormatting>
  <conditionalFormatting sqref="E311">
    <cfRule type="cellIs" dxfId="519" priority="4" operator="equal">
      <formula>"x"</formula>
    </cfRule>
  </conditionalFormatting>
  <conditionalFormatting sqref="E313">
    <cfRule type="cellIs" dxfId="518" priority="3" operator="equal">
      <formula>"x"</formula>
    </cfRule>
  </conditionalFormatting>
  <conditionalFormatting sqref="F337">
    <cfRule type="cellIs" dxfId="517" priority="2" stopIfTrue="1" operator="equal">
      <formula>"x"</formula>
    </cfRule>
  </conditionalFormatting>
  <conditionalFormatting sqref="E337">
    <cfRule type="cellIs" dxfId="516" priority="1" stopIfTrue="1" operator="equal">
      <formula>"x"</formula>
    </cfRule>
  </conditionalFormatting>
  <hyperlinks>
    <hyperlink ref="F65" r:id="rId1"/>
    <hyperlink ref="H235" r:id="rId2"/>
    <hyperlink ref="E254" r:id="rId3"/>
    <hyperlink ref="B23" r:id="rId4"/>
    <hyperlink ref="G32" r:id="rId5"/>
    <hyperlink ref="G33" r:id="rId6" location="p/u/8/ndCexCPLNdA"/>
    <hyperlink ref="F62" r:id="rId7"/>
    <hyperlink ref="F73" r:id="rId8"/>
    <hyperlink ref="C138" r:id="rId9"/>
    <hyperlink ref="H236" r:id="rId10"/>
    <hyperlink ref="H237" r:id="rId11"/>
  </hyperlinks>
  <pageMargins left="0.75" right="0.75" top="1" bottom="1" header="0.5" footer="0.5"/>
  <pageSetup paperSize="9" orientation="portrait" horizontalDpi="1200" verticalDpi="0"/>
  <headerFooter alignWithMargins="0"/>
  <ignoredErrors>
    <ignoredError sqref="J48 J176 J200 J221 J251 J311 J133" formula="1"/>
    <ignoredError sqref="H186:H189" unlockedFormula="1"/>
  </ignoredErrors>
  <drawing r:id="rId12"/>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302"/>
  <sheetViews>
    <sheetView showZeros="0" zoomScale="115" zoomScaleNormal="115" zoomScalePageLayoutView="150" workbookViewId="0"/>
  </sheetViews>
  <sheetFormatPr defaultColWidth="8.85546875" defaultRowHeight="12.75" x14ac:dyDescent="0.2"/>
  <cols>
    <col min="1" max="1" width="3.85546875" customWidth="1"/>
    <col min="2" max="2" width="59.140625" customWidth="1"/>
    <col min="3" max="6" width="15.7109375" customWidth="1"/>
    <col min="7" max="7" width="17.140625" customWidth="1"/>
    <col min="8" max="8" width="19.28515625" customWidth="1"/>
    <col min="9" max="9" width="2" customWidth="1"/>
    <col min="10" max="10" width="10.7109375" hidden="1" customWidth="1"/>
    <col min="11" max="11" width="9.140625" hidden="1" customWidth="1"/>
    <col min="12" max="12" width="13.85546875" style="91" hidden="1" customWidth="1"/>
  </cols>
  <sheetData>
    <row r="1" spans="1:13" x14ac:dyDescent="0.2">
      <c r="A1" s="1"/>
      <c r="B1" s="105" t="s">
        <v>2613</v>
      </c>
      <c r="C1" s="112" t="s">
        <v>785</v>
      </c>
      <c r="D1" s="1"/>
      <c r="E1" s="1"/>
      <c r="F1" s="1"/>
      <c r="G1" s="1"/>
      <c r="H1" s="1"/>
      <c r="I1" s="1"/>
      <c r="J1" s="1"/>
      <c r="K1" s="1"/>
      <c r="L1" s="3"/>
      <c r="M1" s="1"/>
    </row>
    <row r="2" spans="1:13" x14ac:dyDescent="0.2">
      <c r="A2" s="14"/>
      <c r="B2" s="14"/>
      <c r="C2" s="14"/>
      <c r="D2" s="14"/>
      <c r="E2" s="14"/>
      <c r="F2" s="14"/>
      <c r="G2" s="14"/>
      <c r="H2" s="14"/>
      <c r="I2" s="14"/>
      <c r="J2" s="1"/>
      <c r="K2" s="1"/>
      <c r="L2" s="3"/>
      <c r="M2" s="1"/>
    </row>
    <row r="3" spans="1:13" x14ac:dyDescent="0.2">
      <c r="A3" s="1"/>
      <c r="B3" s="1"/>
      <c r="C3" s="1"/>
      <c r="D3" s="1"/>
      <c r="E3" s="1"/>
      <c r="F3" s="1"/>
      <c r="G3" s="1"/>
      <c r="H3" s="1"/>
      <c r="I3" s="1"/>
      <c r="J3" s="1"/>
      <c r="K3" s="1"/>
      <c r="L3" s="3"/>
      <c r="M3" s="1"/>
    </row>
    <row r="4" spans="1:13" x14ac:dyDescent="0.2">
      <c r="A4" s="1" t="s">
        <v>998</v>
      </c>
      <c r="B4" s="1" t="s">
        <v>274</v>
      </c>
      <c r="C4" s="1"/>
      <c r="D4" s="1"/>
      <c r="E4" s="1"/>
      <c r="F4" s="1"/>
      <c r="G4" s="1"/>
      <c r="H4" s="1"/>
      <c r="I4" s="1"/>
      <c r="J4" s="1"/>
      <c r="K4" s="1"/>
      <c r="L4" s="3"/>
      <c r="M4" s="1"/>
    </row>
    <row r="5" spans="1:13" x14ac:dyDescent="0.2">
      <c r="A5" s="1"/>
      <c r="B5" s="1" t="s">
        <v>275</v>
      </c>
      <c r="C5" s="1"/>
      <c r="D5" s="1"/>
      <c r="E5" s="1"/>
      <c r="F5" s="1"/>
      <c r="G5" s="1"/>
      <c r="H5" s="1"/>
      <c r="I5" s="1"/>
      <c r="J5" s="1"/>
      <c r="K5" s="1"/>
      <c r="L5" s="3"/>
      <c r="M5" s="1"/>
    </row>
    <row r="6" spans="1:13" x14ac:dyDescent="0.2">
      <c r="A6" s="1"/>
      <c r="B6" s="1" t="s">
        <v>276</v>
      </c>
      <c r="C6" s="1"/>
      <c r="D6" s="1"/>
      <c r="E6" s="1"/>
      <c r="F6" s="1"/>
      <c r="G6" s="1"/>
      <c r="H6" s="1"/>
      <c r="I6" s="1"/>
      <c r="J6" s="1"/>
      <c r="K6" s="1"/>
      <c r="L6" s="3"/>
      <c r="M6" s="1"/>
    </row>
    <row r="7" spans="1:13" x14ac:dyDescent="0.2">
      <c r="A7" s="1"/>
      <c r="B7" s="1" t="s">
        <v>277</v>
      </c>
      <c r="C7" s="1"/>
      <c r="D7" s="1"/>
      <c r="E7" s="1"/>
      <c r="F7" s="1"/>
      <c r="G7" s="1"/>
      <c r="H7" s="1"/>
      <c r="I7" s="1"/>
      <c r="J7" s="1"/>
      <c r="K7" s="1"/>
      <c r="L7" s="3"/>
      <c r="M7" s="1"/>
    </row>
    <row r="8" spans="1:13" x14ac:dyDescent="0.2">
      <c r="A8" s="1"/>
      <c r="B8" s="1" t="s">
        <v>278</v>
      </c>
      <c r="C8" s="1"/>
      <c r="D8" s="1"/>
      <c r="E8" s="1"/>
      <c r="F8" s="1"/>
      <c r="G8" s="1"/>
      <c r="H8" s="1"/>
      <c r="I8" s="1"/>
      <c r="J8" s="1"/>
      <c r="K8" s="1"/>
      <c r="L8" s="3"/>
      <c r="M8" s="1"/>
    </row>
    <row r="9" spans="1:13" x14ac:dyDescent="0.2">
      <c r="A9" s="1"/>
      <c r="B9" s="67" t="s">
        <v>2659</v>
      </c>
      <c r="C9" s="1"/>
      <c r="D9" s="1"/>
      <c r="E9" s="1"/>
      <c r="F9" s="1"/>
      <c r="G9" s="1"/>
      <c r="H9" s="1"/>
      <c r="I9" s="1"/>
      <c r="J9" s="1"/>
      <c r="K9" s="1"/>
      <c r="L9" s="3"/>
      <c r="M9" s="1"/>
    </row>
    <row r="10" spans="1:13" x14ac:dyDescent="0.2">
      <c r="A10" s="1"/>
      <c r="B10" s="67" t="s">
        <v>2660</v>
      </c>
      <c r="C10" s="1"/>
      <c r="D10" s="1"/>
      <c r="E10" s="1"/>
      <c r="F10" s="1"/>
      <c r="G10" s="1"/>
      <c r="H10" s="1"/>
      <c r="I10" s="1"/>
      <c r="J10" s="1"/>
      <c r="K10" s="1"/>
      <c r="L10" s="3"/>
      <c r="M10" s="1"/>
    </row>
    <row r="11" spans="1:13" x14ac:dyDescent="0.2">
      <c r="A11" s="1"/>
      <c r="B11" s="1" t="s">
        <v>2096</v>
      </c>
      <c r="C11" s="1"/>
      <c r="D11" s="1"/>
      <c r="E11" s="1"/>
      <c r="F11" s="1"/>
      <c r="G11" s="1"/>
      <c r="H11" s="1"/>
      <c r="I11" s="1"/>
      <c r="J11" s="1"/>
      <c r="K11" s="1"/>
      <c r="L11" s="3"/>
      <c r="M11" s="1"/>
    </row>
    <row r="12" spans="1:13" x14ac:dyDescent="0.2">
      <c r="A12" s="1"/>
      <c r="B12" s="339" t="s">
        <v>2614</v>
      </c>
      <c r="C12" s="1"/>
      <c r="D12" s="1"/>
      <c r="E12" s="1"/>
      <c r="F12" s="1"/>
      <c r="G12" s="1"/>
      <c r="H12" s="1"/>
      <c r="I12" s="1"/>
      <c r="J12" s="1"/>
      <c r="K12" s="1"/>
      <c r="L12" s="3"/>
      <c r="M12" s="1"/>
    </row>
    <row r="13" spans="1:13" ht="39" thickBot="1" x14ac:dyDescent="0.25">
      <c r="A13" s="1"/>
      <c r="B13" s="549" t="s">
        <v>2661</v>
      </c>
      <c r="C13" s="1"/>
      <c r="D13" s="57" t="s">
        <v>281</v>
      </c>
      <c r="E13" s="57" t="s">
        <v>282</v>
      </c>
      <c r="F13" s="1"/>
      <c r="G13" s="1"/>
      <c r="H13" s="1"/>
      <c r="I13" s="1"/>
      <c r="J13" s="1"/>
      <c r="K13" s="1"/>
      <c r="L13" s="3"/>
      <c r="M13" s="1"/>
    </row>
    <row r="14" spans="1:13" ht="13.5" thickTop="1" x14ac:dyDescent="0.2">
      <c r="A14" s="1"/>
      <c r="B14" s="25" t="s">
        <v>279</v>
      </c>
      <c r="C14" s="1"/>
      <c r="D14" s="56" t="s">
        <v>995</v>
      </c>
      <c r="E14" s="56" t="s">
        <v>995</v>
      </c>
      <c r="F14" s="1"/>
      <c r="G14" s="1"/>
      <c r="H14" s="1"/>
      <c r="I14" s="1"/>
      <c r="J14" s="5" t="str">
        <f>IF(D14="x","JUIST","")</f>
        <v/>
      </c>
      <c r="K14" s="5">
        <f>ABS(IF(J14="JUIST","1","0"))</f>
        <v>0</v>
      </c>
      <c r="L14" s="3">
        <v>1</v>
      </c>
      <c r="M14" s="1"/>
    </row>
    <row r="15" spans="1:13" x14ac:dyDescent="0.2">
      <c r="A15" s="1"/>
      <c r="B15" s="25" t="s">
        <v>280</v>
      </c>
      <c r="C15" s="1"/>
      <c r="D15" s="3" t="str">
        <f>J14</f>
        <v/>
      </c>
      <c r="E15" s="3" t="str">
        <f>J15</f>
        <v/>
      </c>
      <c r="F15" s="1"/>
      <c r="G15" s="1"/>
      <c r="H15" s="1"/>
      <c r="I15" s="1"/>
      <c r="J15" s="5" t="str">
        <f>IF(E14="x","FOUT","")</f>
        <v/>
      </c>
      <c r="K15" s="5">
        <f>ABS(IF(J15="JUIST","1","0"))</f>
        <v>0</v>
      </c>
      <c r="L15" s="3"/>
      <c r="M15" s="1"/>
    </row>
    <row r="16" spans="1:13" x14ac:dyDescent="0.2">
      <c r="A16" s="1"/>
      <c r="B16" s="80" t="s">
        <v>284</v>
      </c>
      <c r="C16" s="1"/>
      <c r="D16" s="3"/>
      <c r="E16" s="3"/>
      <c r="F16" s="1"/>
      <c r="G16" s="1"/>
      <c r="H16" s="1"/>
      <c r="I16" s="1"/>
      <c r="J16" s="79"/>
      <c r="K16" s="79"/>
      <c r="L16" s="3"/>
      <c r="M16" s="1"/>
    </row>
    <row r="17" spans="1:13" x14ac:dyDescent="0.2">
      <c r="A17" s="1"/>
      <c r="B17" s="81" t="s">
        <v>895</v>
      </c>
      <c r="C17" s="1"/>
      <c r="D17" s="3"/>
      <c r="E17" s="3"/>
      <c r="F17" s="1"/>
      <c r="G17" s="1"/>
      <c r="H17" s="1"/>
      <c r="I17" s="1"/>
      <c r="J17" s="79"/>
      <c r="K17" s="79"/>
      <c r="L17" s="3"/>
      <c r="M17" s="1"/>
    </row>
    <row r="18" spans="1:13" ht="13.5" thickBot="1" x14ac:dyDescent="0.25">
      <c r="A18" s="1"/>
      <c r="B18" s="1"/>
      <c r="C18" s="1"/>
      <c r="D18" s="1"/>
      <c r="E18" s="1"/>
      <c r="F18" s="1"/>
      <c r="G18" s="1"/>
      <c r="H18" s="1"/>
      <c r="I18" s="1"/>
      <c r="J18" s="1"/>
      <c r="K18" s="1"/>
      <c r="L18" s="3"/>
      <c r="M18" s="1"/>
    </row>
    <row r="19" spans="1:13" ht="14.25" thickTop="1" thickBot="1" x14ac:dyDescent="0.25">
      <c r="A19" s="1"/>
      <c r="B19" s="82" t="s">
        <v>1033</v>
      </c>
      <c r="C19" s="318" t="s">
        <v>995</v>
      </c>
      <c r="D19" s="1"/>
      <c r="E19" s="1"/>
      <c r="F19" s="1"/>
      <c r="G19" s="1"/>
      <c r="H19" s="1"/>
      <c r="I19" s="1"/>
      <c r="J19" s="342" t="str">
        <f>IF(C19="x","=k19","")</f>
        <v/>
      </c>
      <c r="K19" s="1"/>
      <c r="L19" s="3"/>
      <c r="M19" s="1"/>
    </row>
    <row r="20" spans="1:13" ht="13.5" thickTop="1" x14ac:dyDescent="0.2">
      <c r="A20" s="1"/>
      <c r="B20" s="52" t="str">
        <f>J20</f>
        <v/>
      </c>
      <c r="C20" s="1"/>
      <c r="D20" s="1"/>
      <c r="E20" s="1"/>
      <c r="F20" s="1"/>
      <c r="G20" s="1"/>
      <c r="H20" s="1"/>
      <c r="I20" s="1"/>
      <c r="J20" s="5" t="str">
        <f>IF(C19="x","Het juiste antwoord is: open. Zie HRM-boek paragraaf 2.1","")</f>
        <v/>
      </c>
      <c r="K20" s="1"/>
      <c r="L20" s="3"/>
      <c r="M20" s="1"/>
    </row>
    <row r="21" spans="1:13" x14ac:dyDescent="0.2">
      <c r="A21" s="14"/>
      <c r="B21" s="14"/>
      <c r="C21" s="14"/>
      <c r="D21" s="14"/>
      <c r="E21" s="14"/>
      <c r="F21" s="14"/>
      <c r="G21" s="14"/>
      <c r="H21" s="14"/>
      <c r="I21" s="14"/>
      <c r="J21" s="1"/>
      <c r="K21" s="1"/>
      <c r="L21" s="3"/>
      <c r="M21" s="1"/>
    </row>
    <row r="22" spans="1:13" x14ac:dyDescent="0.2">
      <c r="A22" s="1"/>
      <c r="B22" s="1"/>
      <c r="C22" s="1"/>
      <c r="D22" s="1"/>
      <c r="E22" s="1"/>
      <c r="F22" s="1"/>
      <c r="G22" s="1"/>
      <c r="H22" s="1"/>
      <c r="I22" s="1"/>
      <c r="J22" s="1"/>
      <c r="K22" s="1"/>
      <c r="L22" s="3"/>
      <c r="M22" s="1"/>
    </row>
    <row r="23" spans="1:13" x14ac:dyDescent="0.2">
      <c r="A23" s="1" t="s">
        <v>1006</v>
      </c>
      <c r="B23" s="1" t="s">
        <v>2615</v>
      </c>
      <c r="C23" s="1"/>
      <c r="D23" s="1"/>
      <c r="E23" s="1"/>
      <c r="F23" s="1"/>
      <c r="G23" s="1"/>
      <c r="H23" s="1"/>
      <c r="I23" s="1"/>
      <c r="J23" s="6" t="e">
        <f>SEARCH("adaptie",B29)</f>
        <v>#VALUE!</v>
      </c>
      <c r="K23" s="1"/>
      <c r="L23" s="3"/>
      <c r="M23" s="1"/>
    </row>
    <row r="24" spans="1:13" x14ac:dyDescent="0.2">
      <c r="A24" s="1"/>
      <c r="B24" s="1" t="s">
        <v>2097</v>
      </c>
      <c r="C24" s="1"/>
      <c r="D24" s="1"/>
      <c r="E24" s="1"/>
      <c r="F24" s="1"/>
      <c r="G24" s="1"/>
      <c r="H24" s="1"/>
      <c r="I24" s="1"/>
      <c r="J24" s="6">
        <f>ABS(ISERR(J23))</f>
        <v>1</v>
      </c>
      <c r="K24" s="1"/>
      <c r="L24" s="3"/>
      <c r="M24" s="1"/>
    </row>
    <row r="25" spans="1:13" x14ac:dyDescent="0.2">
      <c r="A25" s="1"/>
      <c r="B25" s="1" t="s">
        <v>283</v>
      </c>
      <c r="C25" s="1"/>
      <c r="D25" s="1"/>
      <c r="E25" s="1"/>
      <c r="F25" s="1"/>
      <c r="G25" s="1"/>
      <c r="H25" s="1"/>
      <c r="I25" s="1"/>
      <c r="J25" s="6" t="e">
        <f>SEARCH("aanpass",B29)</f>
        <v>#VALUE!</v>
      </c>
      <c r="K25" s="1"/>
      <c r="L25" s="3"/>
      <c r="M25" s="1"/>
    </row>
    <row r="26" spans="1:13" x14ac:dyDescent="0.2">
      <c r="A26" s="1"/>
      <c r="B26" s="81" t="s">
        <v>287</v>
      </c>
      <c r="C26" s="1"/>
      <c r="D26" s="1"/>
      <c r="E26" s="1"/>
      <c r="F26" s="1"/>
      <c r="G26" s="1"/>
      <c r="H26" s="1"/>
      <c r="I26" s="1"/>
      <c r="J26" s="6">
        <f>ABS(ISERR(J25))</f>
        <v>1</v>
      </c>
      <c r="K26" s="1"/>
      <c r="L26" s="3"/>
      <c r="M26" s="1"/>
    </row>
    <row r="27" spans="1:13" x14ac:dyDescent="0.2">
      <c r="A27" s="1"/>
      <c r="B27" s="81" t="s">
        <v>2098</v>
      </c>
      <c r="C27" s="1"/>
      <c r="D27" s="1"/>
      <c r="E27" s="1"/>
      <c r="F27" s="1"/>
      <c r="G27" s="1"/>
      <c r="H27" s="1"/>
      <c r="I27" s="1"/>
      <c r="J27" s="18"/>
      <c r="K27" s="1"/>
      <c r="L27" s="3"/>
      <c r="M27" s="1"/>
    </row>
    <row r="28" spans="1:13" x14ac:dyDescent="0.2">
      <c r="A28" s="1"/>
      <c r="B28" s="1"/>
      <c r="C28" s="1"/>
      <c r="D28" s="18" t="s">
        <v>995</v>
      </c>
      <c r="E28" s="79" t="s">
        <v>995</v>
      </c>
      <c r="F28" s="1"/>
      <c r="G28" s="1"/>
      <c r="H28" s="1"/>
      <c r="I28" s="1"/>
      <c r="J28" s="1"/>
      <c r="K28" s="1"/>
      <c r="L28" s="3"/>
      <c r="M28" s="1"/>
    </row>
    <row r="29" spans="1:13" x14ac:dyDescent="0.2">
      <c r="A29" s="1"/>
      <c r="B29" s="318" t="s">
        <v>995</v>
      </c>
      <c r="C29" s="79" t="str">
        <f>IF(J24=1,"","JUIST")</f>
        <v/>
      </c>
      <c r="D29" s="79" t="str">
        <f>IF(J26=1,"","JUIST")</f>
        <v/>
      </c>
      <c r="E29" s="1"/>
      <c r="F29" s="1"/>
      <c r="G29" s="1"/>
      <c r="H29" s="1"/>
      <c r="I29" s="1"/>
      <c r="J29" s="5" t="str">
        <f>IF(J24=1,"FOUT","JUIST")</f>
        <v>FOUT</v>
      </c>
      <c r="K29" s="5">
        <f>ABS(IF(J29="JUIST","1","0"))</f>
        <v>0</v>
      </c>
      <c r="L29" s="3">
        <v>1</v>
      </c>
      <c r="M29" s="1"/>
    </row>
    <row r="30" spans="1:13" x14ac:dyDescent="0.2">
      <c r="A30" s="1"/>
      <c r="B30" s="1"/>
      <c r="C30" s="1"/>
      <c r="D30" s="1"/>
      <c r="E30" s="1"/>
      <c r="F30" s="1"/>
      <c r="G30" s="1"/>
      <c r="H30" s="1"/>
      <c r="I30" s="1"/>
      <c r="J30" s="5" t="str">
        <f>IF(J26=1,"FOUT","JUIST")</f>
        <v>FOUT</v>
      </c>
      <c r="K30" s="5">
        <f>ABS(IF(J30="JUIST","1","0"))</f>
        <v>0</v>
      </c>
      <c r="L30" s="3"/>
      <c r="M30" s="1"/>
    </row>
    <row r="31" spans="1:13" x14ac:dyDescent="0.2">
      <c r="A31" s="1"/>
      <c r="B31" s="82" t="s">
        <v>1033</v>
      </c>
      <c r="C31" s="318" t="s">
        <v>995</v>
      </c>
      <c r="D31" s="1"/>
      <c r="E31" s="1"/>
      <c r="F31" s="1"/>
      <c r="G31" s="1"/>
      <c r="H31" s="1"/>
      <c r="I31" s="1"/>
      <c r="J31" s="85" t="s">
        <v>995</v>
      </c>
      <c r="K31" s="1"/>
      <c r="L31" s="3"/>
      <c r="M31" s="1"/>
    </row>
    <row r="32" spans="1:13" x14ac:dyDescent="0.2">
      <c r="A32" s="1"/>
      <c r="B32" s="52" t="str">
        <f>J32</f>
        <v/>
      </c>
      <c r="C32" s="1"/>
      <c r="D32" s="1"/>
      <c r="E32" s="1"/>
      <c r="F32" s="1"/>
      <c r="G32" s="1"/>
      <c r="H32" s="1"/>
      <c r="I32" s="1"/>
      <c r="J32" s="84" t="str">
        <f>IF(C31="x","Adaptief c.q. aanpassend vermogen","")</f>
        <v/>
      </c>
      <c r="K32" s="1"/>
      <c r="L32" s="3"/>
      <c r="M32" s="1"/>
    </row>
    <row r="33" spans="1:13" x14ac:dyDescent="0.2">
      <c r="A33" s="1"/>
      <c r="B33" s="1"/>
      <c r="C33" s="1"/>
      <c r="D33" s="1"/>
      <c r="E33" s="1"/>
      <c r="F33" s="1"/>
      <c r="G33" s="1"/>
      <c r="H33" s="1"/>
      <c r="I33" s="1"/>
      <c r="J33" s="1"/>
      <c r="K33" s="1"/>
      <c r="L33" s="3"/>
      <c r="M33" s="1"/>
    </row>
    <row r="34" spans="1:13" x14ac:dyDescent="0.2">
      <c r="A34" s="14"/>
      <c r="B34" s="14"/>
      <c r="C34" s="14"/>
      <c r="D34" s="14"/>
      <c r="E34" s="14"/>
      <c r="F34" s="14"/>
      <c r="G34" s="14"/>
      <c r="H34" s="14"/>
      <c r="I34" s="14"/>
      <c r="J34" s="1"/>
      <c r="K34" s="1"/>
      <c r="L34" s="3"/>
      <c r="M34" s="1"/>
    </row>
    <row r="35" spans="1:13" x14ac:dyDescent="0.2">
      <c r="A35" s="1"/>
      <c r="B35" s="1"/>
      <c r="C35" s="1"/>
      <c r="D35" s="1"/>
      <c r="E35" s="1"/>
      <c r="F35" s="1"/>
      <c r="G35" s="1"/>
      <c r="H35" s="1"/>
      <c r="I35" s="1"/>
      <c r="J35" s="1"/>
      <c r="K35" s="1"/>
      <c r="L35" s="3"/>
      <c r="M35" s="1"/>
    </row>
    <row r="36" spans="1:13" ht="25.5" x14ac:dyDescent="0.2">
      <c r="B36" s="1"/>
      <c r="C36" s="1"/>
      <c r="D36" s="1"/>
      <c r="E36" s="1"/>
      <c r="F36" s="22" t="s">
        <v>1500</v>
      </c>
      <c r="G36" s="1"/>
      <c r="H36" s="1"/>
      <c r="I36" s="1"/>
      <c r="J36" s="1"/>
      <c r="K36" s="1"/>
      <c r="L36" s="3"/>
      <c r="M36" s="1"/>
    </row>
    <row r="37" spans="1:13" x14ac:dyDescent="0.2">
      <c r="A37" s="1" t="s">
        <v>1032</v>
      </c>
      <c r="B37" s="1" t="s">
        <v>1511</v>
      </c>
      <c r="C37" s="1"/>
      <c r="D37" s="1"/>
      <c r="E37" s="1"/>
      <c r="F37" s="1"/>
      <c r="G37" s="1"/>
      <c r="H37" s="1"/>
      <c r="I37" s="1"/>
      <c r="J37" s="1"/>
      <c r="K37" s="1"/>
      <c r="L37" s="3"/>
      <c r="M37" s="1"/>
    </row>
    <row r="38" spans="1:13" x14ac:dyDescent="0.2">
      <c r="A38" s="1"/>
      <c r="B38" s="1" t="s">
        <v>1512</v>
      </c>
      <c r="C38" s="1"/>
      <c r="D38" s="1"/>
      <c r="E38" s="1"/>
      <c r="F38" s="1"/>
      <c r="G38" s="1"/>
      <c r="H38" s="1"/>
      <c r="I38" s="1"/>
      <c r="J38" s="1"/>
      <c r="K38" s="1"/>
      <c r="L38" s="3"/>
      <c r="M38" s="1"/>
    </row>
    <row r="39" spans="1:13" x14ac:dyDescent="0.2">
      <c r="A39" s="1"/>
      <c r="B39" s="1" t="s">
        <v>2100</v>
      </c>
      <c r="C39" s="1"/>
      <c r="D39" s="6" t="s">
        <v>1501</v>
      </c>
      <c r="E39" s="1"/>
      <c r="F39" s="6" t="s">
        <v>1502</v>
      </c>
      <c r="G39" s="1"/>
      <c r="H39" s="5" t="s">
        <v>1503</v>
      </c>
      <c r="I39" s="1"/>
      <c r="J39" s="6" t="s">
        <v>1514</v>
      </c>
      <c r="K39" s="1"/>
      <c r="L39" s="3"/>
      <c r="M39" s="1"/>
    </row>
    <row r="40" spans="1:13" x14ac:dyDescent="0.2">
      <c r="A40" s="1"/>
      <c r="B40" s="1" t="s">
        <v>2099</v>
      </c>
      <c r="C40" s="1"/>
      <c r="D40" s="1"/>
      <c r="E40" s="1"/>
      <c r="F40" s="1"/>
      <c r="G40" s="1"/>
      <c r="H40" s="1"/>
      <c r="I40" s="1"/>
      <c r="J40" s="6" t="s">
        <v>1515</v>
      </c>
      <c r="K40" s="1"/>
      <c r="L40" s="3"/>
      <c r="M40" s="1"/>
    </row>
    <row r="41" spans="1:13" x14ac:dyDescent="0.2">
      <c r="A41" s="1"/>
      <c r="B41" s="1"/>
      <c r="C41" s="1"/>
      <c r="D41" s="483" t="s">
        <v>2090</v>
      </c>
      <c r="E41" s="1"/>
      <c r="F41" s="54" t="s">
        <v>2091</v>
      </c>
      <c r="G41" s="1"/>
      <c r="H41" s="12" t="s">
        <v>2095</v>
      </c>
      <c r="I41" s="1"/>
      <c r="J41" s="6" t="s">
        <v>1516</v>
      </c>
      <c r="K41" s="1"/>
      <c r="L41" s="3"/>
      <c r="M41" s="1"/>
    </row>
    <row r="42" spans="1:13" x14ac:dyDescent="0.2">
      <c r="A42" s="1"/>
      <c r="B42" s="81" t="s">
        <v>1513</v>
      </c>
      <c r="C42" s="1"/>
      <c r="D42" s="55" t="s">
        <v>1506</v>
      </c>
      <c r="E42" s="1"/>
      <c r="F42" s="55" t="s">
        <v>2092</v>
      </c>
      <c r="G42" s="1"/>
      <c r="H42" s="87" t="s">
        <v>1509</v>
      </c>
      <c r="I42" s="1"/>
      <c r="J42" s="1"/>
      <c r="K42" s="1"/>
      <c r="L42" s="3"/>
      <c r="M42" s="1"/>
    </row>
    <row r="43" spans="1:13" x14ac:dyDescent="0.2">
      <c r="A43" s="1"/>
      <c r="B43" s="81" t="s">
        <v>895</v>
      </c>
      <c r="C43" s="1"/>
      <c r="D43" s="55" t="s">
        <v>1505</v>
      </c>
      <c r="E43" s="1"/>
      <c r="F43" s="55" t="s">
        <v>2093</v>
      </c>
      <c r="G43" s="1"/>
      <c r="H43" s="87" t="s">
        <v>2094</v>
      </c>
      <c r="I43" s="1"/>
      <c r="J43" s="1"/>
      <c r="K43" s="1"/>
      <c r="L43" s="3"/>
      <c r="M43" s="1"/>
    </row>
    <row r="44" spans="1:13" x14ac:dyDescent="0.2">
      <c r="A44" s="1"/>
      <c r="B44" s="81" t="s">
        <v>2101</v>
      </c>
      <c r="C44" s="1"/>
      <c r="D44" s="55" t="s">
        <v>1504</v>
      </c>
      <c r="E44" s="1"/>
      <c r="F44" s="55" t="s">
        <v>1507</v>
      </c>
      <c r="G44" s="1"/>
      <c r="H44" s="87"/>
      <c r="I44" s="1"/>
      <c r="J44" s="1"/>
      <c r="K44" s="1"/>
      <c r="L44" s="3"/>
      <c r="M44" s="1"/>
    </row>
    <row r="45" spans="1:13" x14ac:dyDescent="0.2">
      <c r="A45" s="1"/>
      <c r="C45" s="1"/>
      <c r="D45" s="484" t="s">
        <v>2662</v>
      </c>
      <c r="E45" s="1"/>
      <c r="F45" s="28" t="s">
        <v>1508</v>
      </c>
      <c r="G45" s="1"/>
      <c r="H45" s="84"/>
      <c r="I45" s="1"/>
      <c r="J45" s="1"/>
      <c r="K45" s="1"/>
      <c r="L45" s="3"/>
      <c r="M45" s="1"/>
    </row>
    <row r="46" spans="1:13" x14ac:dyDescent="0.2">
      <c r="A46" s="1"/>
      <c r="B46" s="1"/>
      <c r="C46" s="1"/>
      <c r="D46" s="1"/>
      <c r="E46" s="1"/>
      <c r="F46" s="1"/>
      <c r="G46" s="1"/>
      <c r="H46" s="1"/>
      <c r="I46" s="1"/>
      <c r="J46" s="1"/>
      <c r="K46" s="1"/>
      <c r="L46" s="3"/>
      <c r="M46" s="1"/>
    </row>
    <row r="47" spans="1:13" x14ac:dyDescent="0.2">
      <c r="A47" s="1"/>
      <c r="C47" s="1"/>
      <c r="D47" s="10" t="s">
        <v>995</v>
      </c>
      <c r="E47" s="1"/>
      <c r="F47" s="10" t="s">
        <v>995</v>
      </c>
      <c r="G47" s="1"/>
      <c r="H47" s="10" t="s">
        <v>995</v>
      </c>
      <c r="I47" s="1"/>
      <c r="J47" s="5">
        <f>ABS(IF(D47="instroom","1","0"))</f>
        <v>0</v>
      </c>
      <c r="K47" s="5">
        <f>J47</f>
        <v>0</v>
      </c>
      <c r="L47" s="3">
        <v>1</v>
      </c>
      <c r="M47" s="1"/>
    </row>
    <row r="48" spans="1:13" x14ac:dyDescent="0.2">
      <c r="A48" s="1"/>
      <c r="B48" s="89" t="str">
        <f>IF(C51="x","De juiste termen zijn:","")</f>
        <v/>
      </c>
      <c r="C48" s="1"/>
      <c r="D48" s="90" t="str">
        <f>IF(C51="x",J39,"")</f>
        <v/>
      </c>
      <c r="E48" s="1"/>
      <c r="F48" s="90" t="str">
        <f>IF(C51="x",J40,"")</f>
        <v/>
      </c>
      <c r="G48" s="1"/>
      <c r="H48" s="90" t="str">
        <f>IF(C51="x",J41,"")</f>
        <v/>
      </c>
      <c r="I48" s="1"/>
      <c r="J48" s="5">
        <f>ABS(IF(F47="doorstroom","1","0"))</f>
        <v>0</v>
      </c>
      <c r="K48" s="5">
        <f>J48</f>
        <v>0</v>
      </c>
      <c r="L48" s="3">
        <v>1</v>
      </c>
      <c r="M48" s="1"/>
    </row>
    <row r="49" spans="1:13" x14ac:dyDescent="0.2">
      <c r="A49" s="1"/>
      <c r="B49" s="1"/>
      <c r="C49" s="1"/>
      <c r="D49" s="1"/>
      <c r="E49" s="1"/>
      <c r="F49" s="1"/>
      <c r="G49" s="1"/>
      <c r="H49" s="1"/>
      <c r="I49" s="1"/>
      <c r="J49" s="5">
        <f>ABS(IF(H47="uitstroom","1","0"))</f>
        <v>0</v>
      </c>
      <c r="K49" s="5">
        <f>J49</f>
        <v>0</v>
      </c>
      <c r="L49" s="3">
        <v>1</v>
      </c>
      <c r="M49" s="1"/>
    </row>
    <row r="50" spans="1:13" x14ac:dyDescent="0.2">
      <c r="A50" s="1"/>
      <c r="B50" s="1"/>
      <c r="C50" s="1"/>
      <c r="D50" s="1"/>
      <c r="E50" s="1"/>
      <c r="F50" s="1"/>
      <c r="G50" s="1"/>
      <c r="H50" s="1"/>
      <c r="I50" s="1"/>
      <c r="J50" s="1"/>
      <c r="K50" s="1"/>
      <c r="L50" s="3"/>
      <c r="M50" s="1"/>
    </row>
    <row r="51" spans="1:13" x14ac:dyDescent="0.2">
      <c r="A51" s="1"/>
      <c r="B51" s="82" t="s">
        <v>1033</v>
      </c>
      <c r="C51" s="318" t="s">
        <v>995</v>
      </c>
      <c r="D51" s="1"/>
      <c r="E51" s="1"/>
      <c r="F51" s="46" t="s">
        <v>1510</v>
      </c>
      <c r="G51" s="1"/>
      <c r="H51" s="1"/>
      <c r="I51" s="1"/>
      <c r="J51" s="1"/>
      <c r="K51" s="1"/>
      <c r="L51" s="3"/>
      <c r="M51" s="1"/>
    </row>
    <row r="52" spans="1:13" x14ac:dyDescent="0.2">
      <c r="A52" s="1"/>
      <c r="B52" s="1"/>
      <c r="C52" s="1"/>
      <c r="D52" s="1"/>
      <c r="E52" s="1"/>
      <c r="F52" s="1"/>
      <c r="G52" s="1"/>
      <c r="H52" s="1"/>
      <c r="I52" s="1"/>
      <c r="J52" s="1"/>
      <c r="K52" s="1"/>
      <c r="L52" s="3"/>
      <c r="M52" s="1"/>
    </row>
    <row r="53" spans="1:13" x14ac:dyDescent="0.2">
      <c r="A53" s="14"/>
      <c r="B53" s="14"/>
      <c r="C53" s="14"/>
      <c r="D53" s="14"/>
      <c r="E53" s="14"/>
      <c r="F53" s="14"/>
      <c r="G53" s="14"/>
      <c r="H53" s="14"/>
      <c r="I53" s="14"/>
      <c r="J53" s="1"/>
      <c r="K53" s="1"/>
      <c r="L53" s="3"/>
      <c r="M53" s="1"/>
    </row>
    <row r="54" spans="1:13" x14ac:dyDescent="0.2">
      <c r="A54" s="1"/>
      <c r="B54" s="1"/>
      <c r="C54" s="1"/>
      <c r="D54" s="1"/>
      <c r="E54" s="1"/>
      <c r="F54" s="1"/>
      <c r="G54" s="1"/>
      <c r="H54" s="1"/>
      <c r="I54" s="1"/>
      <c r="J54" s="5" t="e">
        <f>SEARCH("zelfregul",F57)</f>
        <v>#VALUE!</v>
      </c>
      <c r="K54" s="86" t="s">
        <v>995</v>
      </c>
      <c r="L54" s="3">
        <v>1</v>
      </c>
      <c r="M54" s="1"/>
    </row>
    <row r="55" spans="1:13" ht="13.5" thickBot="1" x14ac:dyDescent="0.25">
      <c r="A55" s="1" t="s">
        <v>1034</v>
      </c>
      <c r="B55" s="1" t="s">
        <v>2102</v>
      </c>
      <c r="C55" s="1"/>
      <c r="D55" s="92" t="s">
        <v>1526</v>
      </c>
      <c r="E55" s="1"/>
      <c r="F55" s="92" t="s">
        <v>1527</v>
      </c>
      <c r="G55" s="1"/>
      <c r="H55" s="1"/>
      <c r="I55" s="1"/>
      <c r="J55" s="5">
        <f>ABS(ISERR(J54))</f>
        <v>1</v>
      </c>
      <c r="K55" s="5">
        <f>ABS(IF(J55=0,"1","0"))</f>
        <v>0</v>
      </c>
      <c r="L55" s="3"/>
      <c r="M55" s="1"/>
    </row>
    <row r="56" spans="1:13" ht="13.5" thickTop="1" x14ac:dyDescent="0.2">
      <c r="A56" s="1"/>
      <c r="B56" s="1" t="s">
        <v>2103</v>
      </c>
      <c r="C56" s="1"/>
      <c r="D56" s="1"/>
      <c r="F56" s="1"/>
      <c r="G56" s="1"/>
      <c r="H56" s="1"/>
      <c r="I56" s="1"/>
      <c r="J56" s="5" t="e">
        <f>SEARCH("decentra",F59)</f>
        <v>#VALUE!</v>
      </c>
      <c r="K56" s="86" t="s">
        <v>995</v>
      </c>
      <c r="L56" s="3">
        <v>1</v>
      </c>
      <c r="M56" s="1"/>
    </row>
    <row r="57" spans="1:13" x14ac:dyDescent="0.2">
      <c r="A57" s="1"/>
      <c r="B57" s="1" t="s">
        <v>1517</v>
      </c>
      <c r="C57" s="1"/>
      <c r="D57" s="5" t="s">
        <v>1522</v>
      </c>
      <c r="E57" s="1"/>
      <c r="F57" s="10" t="s">
        <v>995</v>
      </c>
      <c r="G57" s="3" t="str">
        <f>IF(J55=0,"JUIST","")</f>
        <v/>
      </c>
      <c r="H57" s="1"/>
      <c r="I57" s="1"/>
      <c r="J57" s="5">
        <f>ABS(ISERR(J56))</f>
        <v>1</v>
      </c>
      <c r="K57" s="5">
        <f>ABS(IF(J57=0,"1","0"))</f>
        <v>0</v>
      </c>
      <c r="L57" s="3"/>
      <c r="M57" s="1"/>
    </row>
    <row r="58" spans="1:13" x14ac:dyDescent="0.2">
      <c r="A58" s="1"/>
      <c r="B58" s="1" t="s">
        <v>1518</v>
      </c>
      <c r="C58" s="1"/>
      <c r="D58" s="3"/>
      <c r="F58" s="3" t="str">
        <f>IF(C66="x",J62,"")</f>
        <v/>
      </c>
      <c r="G58" s="3"/>
      <c r="H58" s="1"/>
      <c r="I58" s="1"/>
      <c r="J58" s="5" t="e">
        <f>SEARCH("interdepen",F61)</f>
        <v>#VALUE!</v>
      </c>
      <c r="K58" s="86" t="s">
        <v>995</v>
      </c>
      <c r="L58" s="3">
        <v>1</v>
      </c>
      <c r="M58" s="1"/>
    </row>
    <row r="59" spans="1:13" x14ac:dyDescent="0.2">
      <c r="A59" s="1"/>
      <c r="B59" s="1" t="s">
        <v>1521</v>
      </c>
      <c r="C59" s="1"/>
      <c r="D59" s="5" t="s">
        <v>1523</v>
      </c>
      <c r="E59" s="1"/>
      <c r="F59" s="10" t="s">
        <v>995</v>
      </c>
      <c r="G59" s="3" t="str">
        <f>IF(J57=0,"JUIST","")</f>
        <v/>
      </c>
      <c r="H59" s="1"/>
      <c r="I59" s="1"/>
      <c r="J59" s="5">
        <f>ABS(ISERR(J58))</f>
        <v>1</v>
      </c>
      <c r="K59" s="5">
        <f>ABS(IF(J59=0,"1","0"))</f>
        <v>0</v>
      </c>
      <c r="L59" s="3"/>
      <c r="M59" s="1"/>
    </row>
    <row r="60" spans="1:13" x14ac:dyDescent="0.2">
      <c r="A60" s="1"/>
      <c r="B60" s="1" t="s">
        <v>2104</v>
      </c>
      <c r="C60" s="1"/>
      <c r="D60" s="3"/>
      <c r="F60" s="3" t="str">
        <f>IF(C66="x",J63,"")</f>
        <v/>
      </c>
      <c r="G60" s="3"/>
      <c r="H60" s="1"/>
      <c r="I60" s="1"/>
      <c r="J60" s="5" t="e">
        <f>SEARCH("uitbested",F63)</f>
        <v>#VALUE!</v>
      </c>
      <c r="K60" s="86" t="s">
        <v>995</v>
      </c>
      <c r="L60" s="3">
        <v>1</v>
      </c>
      <c r="M60" s="1"/>
    </row>
    <row r="61" spans="1:13" x14ac:dyDescent="0.2">
      <c r="A61" s="1"/>
      <c r="B61" s="1" t="s">
        <v>1520</v>
      </c>
      <c r="C61" s="1"/>
      <c r="D61" s="5" t="s">
        <v>1524</v>
      </c>
      <c r="E61" s="1"/>
      <c r="F61" s="10" t="s">
        <v>995</v>
      </c>
      <c r="G61" s="3" t="str">
        <f>IF(J59=0,"JUIST","")</f>
        <v/>
      </c>
      <c r="H61" s="1"/>
      <c r="I61" s="1"/>
      <c r="J61" s="5">
        <f>ABS(ISERR(J60))</f>
        <v>1</v>
      </c>
      <c r="K61" s="5">
        <f>ABS(IF(J61=0,"1","0"))</f>
        <v>0</v>
      </c>
      <c r="L61" s="3"/>
      <c r="M61" s="1"/>
    </row>
    <row r="62" spans="1:13" x14ac:dyDescent="0.2">
      <c r="A62" s="1"/>
      <c r="B62" s="81" t="s">
        <v>1519</v>
      </c>
      <c r="C62" s="1"/>
      <c r="D62" s="3"/>
      <c r="F62" s="3" t="str">
        <f>IF(C66="x",J64,"")</f>
        <v/>
      </c>
      <c r="G62" s="3"/>
      <c r="H62" s="1"/>
      <c r="I62" s="1"/>
      <c r="J62" s="1" t="s">
        <v>1528</v>
      </c>
      <c r="K62" s="1"/>
      <c r="L62" s="3"/>
      <c r="M62" s="1"/>
    </row>
    <row r="63" spans="1:13" x14ac:dyDescent="0.2">
      <c r="A63" s="1"/>
      <c r="B63" s="81" t="s">
        <v>895</v>
      </c>
      <c r="C63" s="1"/>
      <c r="D63" s="5" t="s">
        <v>1525</v>
      </c>
      <c r="E63" s="1"/>
      <c r="F63" s="10" t="s">
        <v>995</v>
      </c>
      <c r="G63" s="3" t="str">
        <f>IF(J61=0,"JUIST","")</f>
        <v/>
      </c>
      <c r="H63" s="1"/>
      <c r="I63" s="1"/>
      <c r="J63" s="1" t="s">
        <v>1529</v>
      </c>
      <c r="K63" s="1"/>
      <c r="L63" s="3"/>
      <c r="M63" s="1"/>
    </row>
    <row r="64" spans="1:13" x14ac:dyDescent="0.2">
      <c r="A64" s="1"/>
      <c r="B64" s="81" t="s">
        <v>2105</v>
      </c>
      <c r="C64" s="1"/>
      <c r="D64" s="1"/>
      <c r="E64" s="1"/>
      <c r="F64" s="3" t="str">
        <f>IF(C66="x",J65,"")</f>
        <v/>
      </c>
      <c r="G64" s="1"/>
      <c r="H64" s="1"/>
      <c r="I64" s="1"/>
      <c r="J64" s="1" t="s">
        <v>1530</v>
      </c>
      <c r="K64" s="1"/>
      <c r="L64" s="3"/>
      <c r="M64" s="1"/>
    </row>
    <row r="65" spans="1:13" x14ac:dyDescent="0.2">
      <c r="A65" s="1"/>
      <c r="B65" s="1"/>
      <c r="C65" s="1"/>
      <c r="D65" s="1"/>
      <c r="E65" s="1"/>
      <c r="F65" s="1"/>
      <c r="G65" s="1"/>
      <c r="H65" s="1"/>
      <c r="I65" s="1"/>
      <c r="J65" s="1" t="s">
        <v>1531</v>
      </c>
      <c r="K65" s="1"/>
      <c r="L65" s="3"/>
      <c r="M65" s="1"/>
    </row>
    <row r="66" spans="1:13" x14ac:dyDescent="0.2">
      <c r="A66" s="1"/>
      <c r="B66" s="82" t="s">
        <v>1033</v>
      </c>
      <c r="C66" s="318" t="s">
        <v>995</v>
      </c>
      <c r="D66" s="1"/>
      <c r="E66" s="1"/>
      <c r="F66" s="1"/>
      <c r="G66" s="1"/>
      <c r="H66" s="1"/>
      <c r="I66" s="1"/>
      <c r="J66" s="1"/>
      <c r="K66" s="1"/>
      <c r="L66" s="3"/>
      <c r="M66" s="1"/>
    </row>
    <row r="67" spans="1:13" x14ac:dyDescent="0.2">
      <c r="A67" s="1"/>
      <c r="B67" s="1"/>
      <c r="C67" s="1"/>
      <c r="D67" s="1"/>
      <c r="E67" s="1"/>
      <c r="F67" s="1"/>
      <c r="G67" s="1"/>
      <c r="H67" s="1"/>
      <c r="I67" s="1"/>
      <c r="J67" s="1"/>
      <c r="K67" s="1"/>
      <c r="L67" s="3"/>
      <c r="M67" s="1"/>
    </row>
    <row r="68" spans="1:13" x14ac:dyDescent="0.2">
      <c r="A68" s="14"/>
      <c r="B68" s="14"/>
      <c r="C68" s="14"/>
      <c r="D68" s="14"/>
      <c r="E68" s="14"/>
      <c r="F68" s="14"/>
      <c r="G68" s="14"/>
      <c r="H68" s="14"/>
      <c r="I68" s="14"/>
      <c r="J68" s="1"/>
      <c r="K68" s="1"/>
      <c r="L68" s="3"/>
      <c r="M68" s="1"/>
    </row>
    <row r="69" spans="1:13" x14ac:dyDescent="0.2">
      <c r="A69" s="1"/>
      <c r="B69" s="1"/>
      <c r="C69" s="1"/>
      <c r="D69" s="1"/>
      <c r="E69" s="1"/>
      <c r="F69" s="1"/>
      <c r="G69" s="1"/>
      <c r="H69" s="1"/>
      <c r="I69" s="1"/>
      <c r="J69" s="5" t="e">
        <f>SEARCH("werktijd",B79)</f>
        <v>#VALUE!</v>
      </c>
      <c r="K69" s="1"/>
      <c r="L69" s="3"/>
      <c r="M69" s="1"/>
    </row>
    <row r="70" spans="1:13" x14ac:dyDescent="0.2">
      <c r="A70" s="1" t="s">
        <v>1038</v>
      </c>
      <c r="B70" s="1" t="s">
        <v>2106</v>
      </c>
      <c r="C70" s="1"/>
      <c r="D70" s="1"/>
      <c r="E70" s="1"/>
      <c r="F70" s="1"/>
      <c r="G70" s="1"/>
      <c r="H70" s="1"/>
      <c r="I70" s="1"/>
      <c r="J70" s="5">
        <f>ABS(ISERR(J69))</f>
        <v>1</v>
      </c>
      <c r="K70" s="5">
        <f>ABS(IF(J70=0,"1","0"))</f>
        <v>0</v>
      </c>
      <c r="L70" s="3">
        <v>1</v>
      </c>
      <c r="M70" s="1"/>
    </row>
    <row r="71" spans="1:13" x14ac:dyDescent="0.2">
      <c r="A71" s="1"/>
      <c r="B71" s="1" t="s">
        <v>1534</v>
      </c>
      <c r="C71" s="1"/>
      <c r="D71" s="1"/>
      <c r="E71" s="1"/>
      <c r="F71" s="1"/>
      <c r="G71" s="1"/>
      <c r="H71" s="1"/>
      <c r="I71" s="1"/>
      <c r="J71" s="5" t="e">
        <f>SEARCH("personeelsplanning",B79)</f>
        <v>#VALUE!</v>
      </c>
      <c r="K71" s="1"/>
      <c r="L71" s="3"/>
      <c r="M71" s="1"/>
    </row>
    <row r="72" spans="1:13" x14ac:dyDescent="0.2">
      <c r="A72" s="1"/>
      <c r="B72" s="67" t="s">
        <v>2663</v>
      </c>
      <c r="C72" s="1"/>
      <c r="D72" s="1"/>
      <c r="E72" s="1"/>
      <c r="F72" s="1"/>
      <c r="G72" s="1"/>
      <c r="H72" s="1"/>
      <c r="I72" s="1"/>
      <c r="J72" s="5">
        <f>ABS(ISERR(J71))</f>
        <v>1</v>
      </c>
      <c r="K72" s="5">
        <f>ABS(IF(J72=0,"1","0"))</f>
        <v>0</v>
      </c>
      <c r="L72" s="3">
        <v>1</v>
      </c>
      <c r="M72" s="1"/>
    </row>
    <row r="73" spans="1:13" x14ac:dyDescent="0.2">
      <c r="A73" s="1"/>
      <c r="B73" s="1" t="s">
        <v>1535</v>
      </c>
      <c r="C73" s="1"/>
      <c r="D73" s="1"/>
      <c r="E73" s="1"/>
      <c r="F73" s="1"/>
      <c r="G73" s="1"/>
      <c r="H73" s="1"/>
      <c r="I73" s="1"/>
      <c r="J73" s="5" t="e">
        <f>SEARCH("arbeidsvoorwaarde",B79)</f>
        <v>#VALUE!</v>
      </c>
      <c r="K73" s="1"/>
      <c r="L73" s="3"/>
      <c r="M73" s="1"/>
    </row>
    <row r="74" spans="1:13" x14ac:dyDescent="0.2">
      <c r="A74" s="1"/>
      <c r="B74" s="81" t="s">
        <v>2107</v>
      </c>
      <c r="C74" s="1"/>
      <c r="D74" s="1"/>
      <c r="E74" s="1"/>
      <c r="F74" s="1"/>
      <c r="G74" s="1"/>
      <c r="H74" s="1"/>
      <c r="I74" s="1"/>
      <c r="J74" s="5">
        <f>ABS(ISERR(J73))</f>
        <v>1</v>
      </c>
      <c r="K74" s="5">
        <f>ABS(IF(J74=0,"1","0"))</f>
        <v>0</v>
      </c>
      <c r="L74" s="3">
        <v>1</v>
      </c>
      <c r="M74" s="1"/>
    </row>
    <row r="75" spans="1:13" x14ac:dyDescent="0.2">
      <c r="A75" s="1"/>
      <c r="B75" s="81" t="s">
        <v>2108</v>
      </c>
      <c r="C75" s="1"/>
      <c r="D75" s="1"/>
      <c r="E75" s="1"/>
      <c r="F75" s="1"/>
      <c r="G75" s="1"/>
      <c r="H75" s="1"/>
      <c r="I75" s="1"/>
      <c r="J75" s="5" t="e">
        <f>SEARCH("arbeidscontract",B79)</f>
        <v>#VALUE!</v>
      </c>
      <c r="K75" s="1"/>
      <c r="L75" s="3"/>
      <c r="M75" s="1"/>
    </row>
    <row r="76" spans="1:13" x14ac:dyDescent="0.2">
      <c r="A76" s="1"/>
      <c r="B76" s="81" t="s">
        <v>1536</v>
      </c>
      <c r="C76" s="1"/>
      <c r="D76" s="1"/>
      <c r="E76" s="1"/>
      <c r="F76" s="1"/>
      <c r="G76" s="1"/>
      <c r="H76" s="1"/>
      <c r="I76" s="1"/>
      <c r="J76" s="5">
        <f>ABS(ISERR(J75))</f>
        <v>1</v>
      </c>
      <c r="K76" s="5">
        <f>ABS(IF(J76=0,"1","0"))</f>
        <v>0</v>
      </c>
      <c r="L76" s="3">
        <v>1</v>
      </c>
      <c r="M76" s="1"/>
    </row>
    <row r="77" spans="1:13" x14ac:dyDescent="0.2">
      <c r="A77" s="1"/>
      <c r="B77" s="81" t="s">
        <v>2109</v>
      </c>
      <c r="C77" s="1"/>
      <c r="D77" s="1"/>
      <c r="E77" s="1"/>
      <c r="F77" s="1"/>
      <c r="G77" s="1"/>
      <c r="H77" s="1"/>
      <c r="I77" s="1"/>
      <c r="J77" s="5" t="e">
        <f>SEARCH("beloning",B79)</f>
        <v>#VALUE!</v>
      </c>
      <c r="K77" s="1"/>
      <c r="L77" s="3"/>
      <c r="M77" s="1"/>
    </row>
    <row r="78" spans="1:13" x14ac:dyDescent="0.2">
      <c r="A78" s="1"/>
      <c r="B78" s="1"/>
      <c r="D78" s="1"/>
      <c r="E78" s="1"/>
      <c r="F78" s="1"/>
      <c r="G78" s="1"/>
      <c r="H78" s="1"/>
      <c r="I78" s="1"/>
      <c r="J78" s="5">
        <f>ABS(ISERR(J77))</f>
        <v>1</v>
      </c>
      <c r="K78" s="5">
        <f>ABS(IF(J78=0,"1","0"))</f>
        <v>0</v>
      </c>
      <c r="L78" s="3">
        <v>1</v>
      </c>
      <c r="M78" s="1"/>
    </row>
    <row r="79" spans="1:13" x14ac:dyDescent="0.2">
      <c r="A79" s="1"/>
      <c r="B79" s="10" t="s">
        <v>995</v>
      </c>
      <c r="C79" s="1"/>
      <c r="D79" s="1"/>
      <c r="E79" s="1"/>
      <c r="F79" s="1"/>
      <c r="G79" s="1"/>
      <c r="H79" s="1"/>
      <c r="I79" s="1"/>
      <c r="J79" s="1" t="s">
        <v>995</v>
      </c>
      <c r="K79" s="1"/>
      <c r="L79" s="3"/>
      <c r="M79" s="1"/>
    </row>
    <row r="80" spans="1:13" x14ac:dyDescent="0.2">
      <c r="A80" s="1"/>
      <c r="B80" s="1"/>
      <c r="C80" s="1"/>
      <c r="D80" s="1"/>
      <c r="E80" s="1"/>
      <c r="F80" s="1"/>
      <c r="G80" s="1"/>
      <c r="H80" s="1"/>
      <c r="I80" s="1"/>
      <c r="J80" s="1" t="s">
        <v>1538</v>
      </c>
      <c r="K80" s="1"/>
      <c r="L80" s="3"/>
      <c r="M80" s="1"/>
    </row>
    <row r="81" spans="1:13" x14ac:dyDescent="0.2">
      <c r="A81" s="1"/>
      <c r="B81" s="82" t="s">
        <v>1537</v>
      </c>
      <c r="C81" s="318" t="s">
        <v>995</v>
      </c>
      <c r="D81" s="1"/>
      <c r="E81" s="1"/>
      <c r="F81" s="1"/>
      <c r="G81" s="1"/>
      <c r="H81" s="1"/>
      <c r="I81" s="1"/>
      <c r="J81" s="79" t="s">
        <v>995</v>
      </c>
      <c r="K81" s="1"/>
      <c r="L81" s="3"/>
      <c r="M81" s="1"/>
    </row>
    <row r="82" spans="1:13" ht="28.35" customHeight="1" x14ac:dyDescent="0.2">
      <c r="A82" s="1"/>
      <c r="B82" s="2" t="str">
        <f>IF(C81="x",J80,"")</f>
        <v/>
      </c>
      <c r="C82" s="1" t="s">
        <v>995</v>
      </c>
      <c r="D82" s="1"/>
      <c r="E82" s="1"/>
      <c r="F82" s="1"/>
      <c r="G82" s="1"/>
      <c r="H82" s="1"/>
      <c r="I82" s="1"/>
      <c r="J82" s="1"/>
      <c r="K82" s="1"/>
      <c r="L82" s="3"/>
      <c r="M82" s="1"/>
    </row>
    <row r="83" spans="1:13" x14ac:dyDescent="0.2">
      <c r="A83" s="14"/>
      <c r="B83" s="14"/>
      <c r="C83" s="14"/>
      <c r="D83" s="14"/>
      <c r="E83" s="14"/>
      <c r="F83" s="14"/>
      <c r="G83" s="14"/>
      <c r="H83" s="14"/>
      <c r="I83" s="14"/>
      <c r="J83" s="1"/>
      <c r="K83" s="1"/>
      <c r="L83" s="3"/>
      <c r="M83" s="1"/>
    </row>
    <row r="84" spans="1:13" x14ac:dyDescent="0.2">
      <c r="A84" s="1"/>
      <c r="B84" s="1"/>
      <c r="C84" s="1"/>
      <c r="D84" s="1"/>
      <c r="E84" s="1"/>
      <c r="F84" s="1"/>
      <c r="G84" s="1"/>
      <c r="H84" s="1"/>
      <c r="I84" s="1"/>
      <c r="J84" s="5" t="e">
        <f>SEARCH("ritue",E89)</f>
        <v>#VALUE!</v>
      </c>
      <c r="K84" s="1"/>
      <c r="L84" s="3"/>
      <c r="M84" s="1"/>
    </row>
    <row r="85" spans="1:13" x14ac:dyDescent="0.2">
      <c r="A85" s="1" t="s">
        <v>860</v>
      </c>
      <c r="B85" s="1" t="s">
        <v>1543</v>
      </c>
      <c r="C85" s="1"/>
      <c r="D85" s="1"/>
      <c r="E85" s="3" t="s">
        <v>1539</v>
      </c>
      <c r="F85" s="1"/>
      <c r="G85" s="1"/>
      <c r="H85" s="1"/>
      <c r="I85" s="1"/>
      <c r="J85" s="5">
        <f>ABS(ISERR(J84))</f>
        <v>1</v>
      </c>
      <c r="K85" s="5">
        <f>ABS(IF(J85=0,"1","0"))</f>
        <v>0</v>
      </c>
      <c r="L85" s="3">
        <v>1</v>
      </c>
      <c r="M85" s="1"/>
    </row>
    <row r="86" spans="1:13" x14ac:dyDescent="0.2">
      <c r="A86" s="1"/>
      <c r="B86" s="1" t="s">
        <v>414</v>
      </c>
      <c r="C86" s="1"/>
      <c r="D86" s="1"/>
      <c r="E86" s="3"/>
      <c r="F86" s="1"/>
      <c r="G86" s="1"/>
      <c r="H86" s="1"/>
      <c r="I86" s="1"/>
      <c r="J86" s="48" t="s">
        <v>995</v>
      </c>
      <c r="K86" s="94"/>
      <c r="L86" s="3"/>
      <c r="M86" s="1"/>
    </row>
    <row r="87" spans="1:13" x14ac:dyDescent="0.2">
      <c r="A87" s="1"/>
      <c r="B87" s="1" t="s">
        <v>415</v>
      </c>
      <c r="C87" s="1"/>
      <c r="D87" s="1"/>
      <c r="E87" s="3" t="s">
        <v>1540</v>
      </c>
      <c r="F87" s="1"/>
      <c r="G87" s="1"/>
      <c r="H87" s="1"/>
      <c r="I87" s="1"/>
      <c r="J87" s="79" t="s">
        <v>995</v>
      </c>
      <c r="K87" s="79" t="s">
        <v>995</v>
      </c>
      <c r="L87" s="3" t="s">
        <v>995</v>
      </c>
      <c r="M87" s="1"/>
    </row>
    <row r="88" spans="1:13" x14ac:dyDescent="0.2">
      <c r="A88" s="1"/>
      <c r="B88" s="1" t="s">
        <v>416</v>
      </c>
      <c r="C88" s="1"/>
      <c r="D88" s="1"/>
      <c r="E88" s="3"/>
      <c r="F88" s="1"/>
      <c r="G88" s="1"/>
      <c r="H88" s="1"/>
      <c r="I88" s="1"/>
      <c r="J88" s="1"/>
      <c r="K88" s="1"/>
      <c r="L88" s="3"/>
      <c r="M88" s="1"/>
    </row>
    <row r="89" spans="1:13" x14ac:dyDescent="0.2">
      <c r="A89" s="1"/>
      <c r="B89" s="1" t="s">
        <v>2110</v>
      </c>
      <c r="C89" s="1"/>
      <c r="D89" s="1"/>
      <c r="E89" s="15" t="s">
        <v>995</v>
      </c>
      <c r="F89" s="1"/>
      <c r="G89" s="1"/>
      <c r="H89" s="1"/>
      <c r="I89" s="1"/>
      <c r="J89" s="1"/>
      <c r="K89" s="1"/>
      <c r="L89" s="3"/>
      <c r="M89" s="1"/>
    </row>
    <row r="90" spans="1:13" x14ac:dyDescent="0.2">
      <c r="A90" s="1"/>
      <c r="B90" s="1" t="s">
        <v>2111</v>
      </c>
      <c r="C90" s="1"/>
      <c r="D90" s="1"/>
      <c r="E90" s="3"/>
      <c r="F90" s="1"/>
      <c r="G90" s="1"/>
      <c r="H90" s="1"/>
      <c r="I90" s="1"/>
      <c r="J90" s="1"/>
      <c r="K90" s="1"/>
      <c r="L90" s="3"/>
      <c r="M90" s="1"/>
    </row>
    <row r="91" spans="1:13" x14ac:dyDescent="0.2">
      <c r="A91" s="1"/>
      <c r="B91" s="1" t="s">
        <v>417</v>
      </c>
      <c r="C91" s="1"/>
      <c r="D91" s="1"/>
      <c r="E91" s="243" t="s">
        <v>1541</v>
      </c>
      <c r="F91" s="1"/>
      <c r="G91" s="1"/>
      <c r="H91" s="1"/>
      <c r="I91" s="1"/>
      <c r="J91" s="1"/>
      <c r="K91" s="1"/>
      <c r="L91" s="3"/>
      <c r="M91" s="1"/>
    </row>
    <row r="92" spans="1:13" x14ac:dyDescent="0.2">
      <c r="A92" s="1"/>
      <c r="B92" s="1" t="s">
        <v>418</v>
      </c>
      <c r="C92" s="1"/>
      <c r="D92" s="1"/>
      <c r="E92" s="3"/>
      <c r="F92" s="1"/>
      <c r="G92" s="1"/>
      <c r="H92" s="1"/>
      <c r="I92" s="1"/>
      <c r="J92" s="1"/>
      <c r="K92" s="1"/>
      <c r="L92" s="3"/>
      <c r="M92" s="1"/>
    </row>
    <row r="93" spans="1:13" ht="25.5" x14ac:dyDescent="0.2">
      <c r="A93" s="1"/>
      <c r="B93" s="2" t="s">
        <v>419</v>
      </c>
      <c r="C93" s="1"/>
      <c r="D93" s="1"/>
      <c r="E93" s="242" t="s">
        <v>1542</v>
      </c>
      <c r="F93" s="1"/>
      <c r="G93" s="1"/>
      <c r="H93" s="1"/>
      <c r="I93" s="1"/>
      <c r="J93" s="1"/>
      <c r="K93" s="1"/>
      <c r="L93" s="3"/>
      <c r="M93" s="1"/>
    </row>
    <row r="94" spans="1:13" x14ac:dyDescent="0.2">
      <c r="A94" s="1"/>
      <c r="B94" s="1"/>
      <c r="C94" s="1"/>
      <c r="D94" s="1"/>
      <c r="E94" s="1"/>
      <c r="F94" s="1"/>
      <c r="G94" s="1"/>
      <c r="H94" s="1"/>
      <c r="I94" s="1"/>
      <c r="J94" s="1"/>
      <c r="K94" s="1"/>
      <c r="L94" s="3"/>
      <c r="M94" s="1"/>
    </row>
    <row r="95" spans="1:13" x14ac:dyDescent="0.2">
      <c r="A95" s="1"/>
      <c r="B95" s="82" t="s">
        <v>1033</v>
      </c>
      <c r="C95" s="318" t="s">
        <v>995</v>
      </c>
      <c r="D95" s="1"/>
      <c r="E95" s="1"/>
      <c r="F95" s="1"/>
      <c r="G95" s="1"/>
      <c r="H95" s="1"/>
      <c r="I95" s="1"/>
      <c r="J95" s="85" t="s">
        <v>995</v>
      </c>
      <c r="K95" s="1"/>
      <c r="L95" s="3"/>
      <c r="M95" s="1"/>
    </row>
    <row r="96" spans="1:13" x14ac:dyDescent="0.2">
      <c r="A96" s="1"/>
      <c r="B96" s="52" t="str">
        <f>J96</f>
        <v/>
      </c>
      <c r="C96" s="1"/>
      <c r="D96" s="1"/>
      <c r="E96" s="1"/>
      <c r="F96" s="1"/>
      <c r="G96" s="1"/>
      <c r="H96" s="1"/>
      <c r="I96" s="1"/>
      <c r="J96" s="84" t="str">
        <f>IF(C95="x","rituelen","")</f>
        <v/>
      </c>
      <c r="K96" s="1"/>
      <c r="L96" s="3"/>
      <c r="M96" s="1"/>
    </row>
    <row r="97" spans="1:13" x14ac:dyDescent="0.2">
      <c r="A97" s="1"/>
      <c r="B97" s="1"/>
      <c r="C97" s="1"/>
      <c r="D97" s="1"/>
      <c r="E97" s="1"/>
      <c r="F97" s="1"/>
      <c r="G97" s="1"/>
      <c r="H97" s="1"/>
      <c r="I97" s="1"/>
      <c r="J97" s="1"/>
      <c r="K97" s="1"/>
      <c r="L97" s="3"/>
      <c r="M97" s="1"/>
    </row>
    <row r="98" spans="1:13" x14ac:dyDescent="0.2">
      <c r="A98" s="1"/>
      <c r="B98" s="1"/>
      <c r="C98" s="1"/>
      <c r="D98" s="1"/>
      <c r="E98" s="1"/>
      <c r="F98" s="1"/>
      <c r="G98" s="1"/>
      <c r="H98" s="1"/>
      <c r="I98" s="1"/>
      <c r="J98" s="1"/>
      <c r="K98" s="1"/>
      <c r="L98" s="3"/>
      <c r="M98" s="1"/>
    </row>
    <row r="99" spans="1:13" x14ac:dyDescent="0.2">
      <c r="A99" s="1"/>
      <c r="B99" s="1"/>
      <c r="C99" s="1"/>
      <c r="D99" s="1"/>
      <c r="E99" s="1"/>
      <c r="F99" s="1"/>
      <c r="G99" s="1"/>
      <c r="H99" s="1"/>
      <c r="I99" s="1"/>
      <c r="J99" s="1"/>
      <c r="K99" s="1"/>
      <c r="L99" s="3"/>
      <c r="M99" s="1"/>
    </row>
    <row r="100" spans="1:13" x14ac:dyDescent="0.2">
      <c r="A100" s="14"/>
      <c r="B100" s="14"/>
      <c r="C100" s="14"/>
      <c r="D100" s="14"/>
      <c r="E100" s="14"/>
      <c r="F100" s="14"/>
      <c r="G100" s="14"/>
      <c r="H100" s="14"/>
      <c r="I100" s="14"/>
      <c r="J100" s="1"/>
      <c r="K100" s="1"/>
      <c r="L100" s="3"/>
      <c r="M100" s="1"/>
    </row>
    <row r="101" spans="1:13" x14ac:dyDescent="0.2">
      <c r="A101" s="1"/>
      <c r="B101" s="1"/>
      <c r="C101" s="1"/>
      <c r="D101" s="1"/>
      <c r="E101" s="1"/>
      <c r="F101" s="1"/>
      <c r="G101" s="1"/>
      <c r="H101" s="1"/>
      <c r="I101" s="1"/>
      <c r="J101" s="73" t="s">
        <v>431</v>
      </c>
      <c r="K101" s="1"/>
      <c r="L101" s="3"/>
      <c r="M101" s="1"/>
    </row>
    <row r="102" spans="1:13" x14ac:dyDescent="0.2">
      <c r="A102" s="1" t="s">
        <v>436</v>
      </c>
      <c r="B102" s="81" t="s">
        <v>2664</v>
      </c>
      <c r="C102" s="1"/>
      <c r="D102" s="18" t="s">
        <v>995</v>
      </c>
      <c r="E102" s="1"/>
      <c r="F102" s="1"/>
      <c r="G102" s="1"/>
      <c r="H102" s="1"/>
      <c r="I102" s="1"/>
      <c r="J102" s="5">
        <v>95</v>
      </c>
      <c r="K102" s="1"/>
      <c r="L102" s="3"/>
      <c r="M102" s="1"/>
    </row>
    <row r="103" spans="1:13" x14ac:dyDescent="0.2">
      <c r="A103" s="1"/>
      <c r="B103" s="1" t="s">
        <v>426</v>
      </c>
      <c r="C103" s="1"/>
      <c r="D103" s="1"/>
      <c r="E103" s="1"/>
      <c r="F103" s="1"/>
      <c r="G103" s="1"/>
      <c r="H103" s="1"/>
      <c r="I103" s="1"/>
      <c r="J103" s="73" t="s">
        <v>432</v>
      </c>
      <c r="K103" s="1"/>
      <c r="L103" s="3"/>
      <c r="M103" s="1"/>
    </row>
    <row r="104" spans="1:13" x14ac:dyDescent="0.2">
      <c r="A104" s="1"/>
      <c r="B104" s="1" t="s">
        <v>427</v>
      </c>
      <c r="C104" s="1"/>
      <c r="D104" s="18" t="s">
        <v>995</v>
      </c>
      <c r="E104" s="1"/>
      <c r="F104" s="1"/>
      <c r="G104" s="1"/>
      <c r="H104" s="1"/>
      <c r="I104" s="1"/>
      <c r="J104" s="5">
        <v>65</v>
      </c>
      <c r="K104" s="1"/>
      <c r="L104" s="3"/>
      <c r="M104" s="1"/>
    </row>
    <row r="105" spans="1:13" x14ac:dyDescent="0.2">
      <c r="A105" s="1"/>
      <c r="B105" s="1" t="s">
        <v>428</v>
      </c>
      <c r="C105" s="1"/>
      <c r="D105" s="1"/>
      <c r="E105" s="1"/>
      <c r="F105" s="1"/>
      <c r="G105" s="1"/>
      <c r="H105" s="1"/>
      <c r="I105" s="1"/>
      <c r="J105" s="1"/>
      <c r="K105" s="1"/>
      <c r="L105" s="3"/>
      <c r="M105" s="1"/>
    </row>
    <row r="106" spans="1:13" x14ac:dyDescent="0.2">
      <c r="A106" s="1"/>
      <c r="B106" s="1" t="s">
        <v>2112</v>
      </c>
      <c r="C106" s="1"/>
      <c r="D106" s="1"/>
      <c r="E106" s="1"/>
      <c r="F106" s="1"/>
      <c r="G106" s="1"/>
      <c r="H106" s="1"/>
      <c r="I106" s="1"/>
      <c r="J106" s="95" t="s">
        <v>429</v>
      </c>
      <c r="K106" s="1"/>
      <c r="L106" s="3"/>
      <c r="M106" s="1"/>
    </row>
    <row r="107" spans="1:13" x14ac:dyDescent="0.2">
      <c r="A107" s="1"/>
      <c r="B107" s="1" t="s">
        <v>2113</v>
      </c>
      <c r="C107" s="482" t="s">
        <v>1230</v>
      </c>
      <c r="D107" s="1"/>
      <c r="E107" s="1"/>
      <c r="F107" s="1"/>
      <c r="G107" s="1"/>
      <c r="H107" s="1"/>
      <c r="I107" s="1"/>
      <c r="J107" s="44">
        <f>C110</f>
        <v>0</v>
      </c>
      <c r="K107" s="1"/>
      <c r="L107" s="3"/>
      <c r="M107" s="1"/>
    </row>
    <row r="108" spans="1:13" x14ac:dyDescent="0.2">
      <c r="A108" s="1"/>
      <c r="B108" s="1"/>
      <c r="C108" s="1"/>
      <c r="D108" s="1"/>
      <c r="E108" s="1"/>
      <c r="F108" s="1"/>
      <c r="G108" s="1"/>
      <c r="H108" s="1"/>
      <c r="I108" s="1"/>
      <c r="J108" s="6" t="s">
        <v>430</v>
      </c>
      <c r="K108" s="1"/>
      <c r="L108" s="3"/>
      <c r="M108" s="1"/>
    </row>
    <row r="109" spans="1:13" x14ac:dyDescent="0.2">
      <c r="A109" s="1"/>
      <c r="B109" s="81" t="s">
        <v>434</v>
      </c>
      <c r="C109" s="1"/>
      <c r="D109" s="1"/>
      <c r="E109" s="1"/>
      <c r="F109" s="1"/>
      <c r="G109" s="1"/>
      <c r="H109" s="1"/>
      <c r="I109" s="1"/>
      <c r="J109" s="5">
        <f>C112</f>
        <v>0</v>
      </c>
      <c r="K109" s="1"/>
      <c r="L109" s="3"/>
      <c r="M109" s="1"/>
    </row>
    <row r="110" spans="1:13" x14ac:dyDescent="0.2">
      <c r="A110" s="1"/>
      <c r="B110" s="81" t="s">
        <v>2114</v>
      </c>
      <c r="C110" s="98">
        <v>0</v>
      </c>
      <c r="D110" s="1"/>
      <c r="E110" s="1"/>
      <c r="F110" s="1"/>
      <c r="G110" s="1"/>
      <c r="H110" s="1"/>
      <c r="I110" s="1"/>
      <c r="J110" s="1"/>
      <c r="K110" s="1"/>
      <c r="L110" s="3"/>
      <c r="M110" s="1"/>
    </row>
    <row r="111" spans="1:13" x14ac:dyDescent="0.2">
      <c r="A111" s="1"/>
      <c r="B111" s="81" t="s">
        <v>435</v>
      </c>
      <c r="C111" s="1"/>
      <c r="D111" s="1"/>
      <c r="E111" s="1"/>
      <c r="F111" s="1"/>
      <c r="G111" s="1"/>
      <c r="H111" s="1"/>
      <c r="I111" s="1"/>
      <c r="J111" s="1"/>
      <c r="K111" s="1"/>
      <c r="L111" s="3"/>
      <c r="M111" s="1"/>
    </row>
    <row r="112" spans="1:13" x14ac:dyDescent="0.2">
      <c r="A112" s="1"/>
      <c r="B112" s="81" t="s">
        <v>2114</v>
      </c>
      <c r="C112" s="98">
        <v>0</v>
      </c>
      <c r="D112" s="1"/>
      <c r="E112" s="1"/>
      <c r="F112" s="1"/>
      <c r="G112" s="1"/>
      <c r="H112" s="1"/>
      <c r="I112" s="1"/>
      <c r="J112" s="5">
        <f>ABS(IF(C114="x",95,0))</f>
        <v>0</v>
      </c>
      <c r="K112" s="1"/>
      <c r="L112" s="3"/>
      <c r="M112" s="1"/>
    </row>
    <row r="113" spans="1:13" x14ac:dyDescent="0.2">
      <c r="A113" s="1"/>
      <c r="B113" s="81"/>
      <c r="C113" s="1"/>
      <c r="D113" s="1"/>
      <c r="E113" s="1"/>
      <c r="F113" s="1"/>
      <c r="G113" s="1"/>
      <c r="H113" s="1"/>
      <c r="I113" s="1"/>
      <c r="J113" s="44">
        <f>J107</f>
        <v>0</v>
      </c>
      <c r="K113" s="1"/>
      <c r="L113" s="3"/>
      <c r="M113" s="1"/>
    </row>
    <row r="114" spans="1:13" x14ac:dyDescent="0.2">
      <c r="A114" s="1"/>
      <c r="B114" s="81" t="s">
        <v>2666</v>
      </c>
      <c r="C114" s="10" t="s">
        <v>995</v>
      </c>
      <c r="D114" s="79">
        <f>ABS(IF(C114="x",95,0))</f>
        <v>0</v>
      </c>
      <c r="E114" s="1"/>
      <c r="F114" s="1"/>
      <c r="G114" s="1"/>
      <c r="H114" s="1"/>
      <c r="I114" s="1"/>
      <c r="J114" s="5">
        <f>ABS(IF(C115="x",D115,0))</f>
        <v>0</v>
      </c>
      <c r="K114" s="1"/>
      <c r="L114" s="3"/>
      <c r="M114" s="1"/>
    </row>
    <row r="115" spans="1:13" x14ac:dyDescent="0.2">
      <c r="A115" s="1"/>
      <c r="B115" s="81" t="s">
        <v>2665</v>
      </c>
      <c r="C115" s="10" t="s">
        <v>995</v>
      </c>
      <c r="D115" s="79">
        <f>ABS(IF(C115="x",65,0))</f>
        <v>0</v>
      </c>
      <c r="E115" s="1"/>
      <c r="F115" s="1"/>
      <c r="G115" s="1"/>
      <c r="H115" s="1"/>
      <c r="I115" s="1"/>
      <c r="J115" s="5">
        <f>J109</f>
        <v>0</v>
      </c>
      <c r="K115" s="1"/>
      <c r="L115" s="3"/>
      <c r="M115" s="1"/>
    </row>
    <row r="116" spans="1:13" x14ac:dyDescent="0.2">
      <c r="A116" s="1"/>
      <c r="B116" s="1"/>
      <c r="C116" s="1"/>
      <c r="D116" s="1"/>
      <c r="E116" s="1"/>
      <c r="F116" s="1"/>
      <c r="G116" s="1"/>
      <c r="H116" s="1"/>
      <c r="I116" s="1"/>
      <c r="J116" s="1"/>
      <c r="K116" s="1"/>
      <c r="L116" s="3"/>
      <c r="M116" s="1"/>
    </row>
    <row r="117" spans="1:13" ht="33.6" customHeight="1" x14ac:dyDescent="0.2">
      <c r="A117" s="1"/>
      <c r="B117" s="97" t="str">
        <f>IF(C114="x",J117,"")</f>
        <v/>
      </c>
      <c r="C117" s="1"/>
      <c r="D117" s="1"/>
      <c r="E117" s="1"/>
      <c r="F117" s="1"/>
      <c r="G117" s="1"/>
      <c r="H117" s="1"/>
      <c r="I117" s="1"/>
      <c r="J117" s="96" t="s">
        <v>433</v>
      </c>
      <c r="K117" s="1"/>
      <c r="L117" s="3"/>
      <c r="M117" s="1"/>
    </row>
    <row r="118" spans="1:13" x14ac:dyDescent="0.2">
      <c r="A118" s="1"/>
      <c r="B118" s="1" t="s">
        <v>995</v>
      </c>
      <c r="C118" s="1"/>
      <c r="D118" s="1"/>
      <c r="E118" s="1"/>
      <c r="F118" s="1"/>
      <c r="G118" s="1"/>
      <c r="H118" s="1"/>
      <c r="I118" s="1"/>
      <c r="J118" s="1"/>
      <c r="K118" s="1"/>
      <c r="L118" s="3"/>
      <c r="M118" s="1"/>
    </row>
    <row r="119" spans="1:13" x14ac:dyDescent="0.2">
      <c r="A119" s="14"/>
      <c r="B119" s="14"/>
      <c r="C119" s="14"/>
      <c r="D119" s="14"/>
      <c r="E119" s="14"/>
      <c r="F119" s="14"/>
      <c r="G119" s="14"/>
      <c r="H119" s="14"/>
      <c r="I119" s="14"/>
      <c r="J119" s="1"/>
      <c r="K119" s="1"/>
      <c r="L119" s="3"/>
      <c r="M119" s="1"/>
    </row>
    <row r="120" spans="1:13" x14ac:dyDescent="0.2">
      <c r="A120" s="1"/>
      <c r="B120" s="1"/>
      <c r="C120" s="1"/>
      <c r="D120" s="1"/>
      <c r="E120" s="1"/>
      <c r="F120" s="1"/>
      <c r="G120" s="1"/>
      <c r="H120" s="1"/>
      <c r="I120" s="1"/>
      <c r="J120" s="5" t="e">
        <f>SEARCH("Skil",D128)</f>
        <v>#VALUE!</v>
      </c>
      <c r="K120" s="1"/>
      <c r="L120" s="3"/>
      <c r="M120" s="1"/>
    </row>
    <row r="121" spans="1:13" x14ac:dyDescent="0.2">
      <c r="A121" s="1" t="s">
        <v>861</v>
      </c>
      <c r="B121" s="1" t="s">
        <v>2115</v>
      </c>
      <c r="C121" s="1"/>
      <c r="D121" s="1"/>
      <c r="E121" s="1"/>
      <c r="F121" s="499" t="s">
        <v>437</v>
      </c>
      <c r="G121" s="1"/>
      <c r="H121" s="1"/>
      <c r="I121" s="1"/>
      <c r="J121" s="5">
        <f>ABS(ISERR(J120))</f>
        <v>1</v>
      </c>
      <c r="K121" s="5">
        <f>ABS(IF(J121=0,"1","0"))</f>
        <v>0</v>
      </c>
      <c r="L121" s="3">
        <v>1</v>
      </c>
      <c r="M121" s="1"/>
    </row>
    <row r="122" spans="1:13" x14ac:dyDescent="0.2">
      <c r="A122" s="1"/>
      <c r="B122" s="1" t="s">
        <v>442</v>
      </c>
      <c r="C122" s="1"/>
      <c r="D122" s="1"/>
      <c r="E122" s="1"/>
      <c r="G122" s="1"/>
      <c r="H122" s="1"/>
      <c r="I122" s="1"/>
      <c r="J122" s="5" t="e">
        <f>SEARCH("Staf",D128)</f>
        <v>#VALUE!</v>
      </c>
      <c r="K122" s="1"/>
      <c r="L122" s="3"/>
      <c r="M122" s="1"/>
    </row>
    <row r="123" spans="1:13" x14ac:dyDescent="0.2">
      <c r="A123" s="1"/>
      <c r="B123" s="81" t="s">
        <v>439</v>
      </c>
      <c r="C123" s="1"/>
      <c r="D123" s="1"/>
      <c r="E123" s="1"/>
      <c r="F123" s="1"/>
      <c r="G123" s="1"/>
      <c r="H123" s="1"/>
      <c r="I123" s="1"/>
      <c r="J123" s="5">
        <f>ABS(ISERR(J122))</f>
        <v>1</v>
      </c>
      <c r="K123" s="5">
        <f>ABS(IF(J123=0,"1","0"))</f>
        <v>0</v>
      </c>
      <c r="L123" s="3" t="s">
        <v>995</v>
      </c>
      <c r="M123" s="1"/>
    </row>
    <row r="124" spans="1:13" x14ac:dyDescent="0.2">
      <c r="A124" s="1"/>
      <c r="B124" s="81" t="s">
        <v>995</v>
      </c>
      <c r="C124" s="1"/>
      <c r="D124" s="100" t="s">
        <v>441</v>
      </c>
      <c r="E124" s="1"/>
      <c r="F124" s="1"/>
      <c r="G124" s="1"/>
      <c r="H124" s="100" t="s">
        <v>440</v>
      </c>
      <c r="I124" s="1"/>
      <c r="J124" s="5" t="e">
        <f>SEARCH("shared value",F126)</f>
        <v>#VALUE!</v>
      </c>
      <c r="K124" s="1"/>
      <c r="L124" s="3"/>
      <c r="M124" s="1"/>
    </row>
    <row r="125" spans="1:13" x14ac:dyDescent="0.2">
      <c r="A125" s="1"/>
      <c r="B125" s="81" t="s">
        <v>895</v>
      </c>
      <c r="C125" s="1"/>
      <c r="D125" s="99"/>
      <c r="E125" s="1"/>
      <c r="F125" s="1"/>
      <c r="G125" s="1"/>
      <c r="H125" s="99"/>
      <c r="I125" s="1"/>
      <c r="J125" s="5">
        <f>ABS(ISERR(J124))</f>
        <v>1</v>
      </c>
      <c r="K125" s="5">
        <f>ABS(IF(J125=0,"1","0"))</f>
        <v>0</v>
      </c>
      <c r="L125" s="3">
        <v>1</v>
      </c>
      <c r="M125" s="1"/>
    </row>
    <row r="126" spans="1:13" x14ac:dyDescent="0.2">
      <c r="A126" s="1"/>
      <c r="B126" s="81" t="s">
        <v>2116</v>
      </c>
      <c r="C126" s="1"/>
      <c r="D126" s="1"/>
      <c r="E126" s="1"/>
      <c r="F126" s="10" t="s">
        <v>995</v>
      </c>
      <c r="G126" s="1"/>
      <c r="H126" s="1"/>
      <c r="I126" s="1"/>
      <c r="J126" s="5" t="e">
        <f>SEARCH("staf",H128)</f>
        <v>#VALUE!</v>
      </c>
      <c r="K126" s="1"/>
      <c r="L126" s="3"/>
      <c r="M126" s="1"/>
    </row>
    <row r="127" spans="1:13" x14ac:dyDescent="0.2">
      <c r="A127" s="1"/>
      <c r="B127" s="1"/>
      <c r="C127" s="1"/>
      <c r="D127" s="1"/>
      <c r="E127" s="1"/>
      <c r="F127" s="88" t="str">
        <f>IF(C131="x","Shared values","")</f>
        <v/>
      </c>
      <c r="G127" s="1"/>
      <c r="H127" s="1"/>
      <c r="I127" s="1"/>
      <c r="J127" s="5">
        <f>ABS(ISERR(J126))</f>
        <v>1</v>
      </c>
      <c r="K127" s="5">
        <f>ABS(IF(J127=0,"1","0"))</f>
        <v>0</v>
      </c>
      <c r="L127" s="3">
        <v>1</v>
      </c>
      <c r="M127" s="1"/>
    </row>
    <row r="128" spans="1:13" x14ac:dyDescent="0.2">
      <c r="A128" s="1"/>
      <c r="B128" s="1"/>
      <c r="C128" s="1"/>
      <c r="D128" s="10">
        <v>0</v>
      </c>
      <c r="E128" s="1"/>
      <c r="F128" s="1"/>
      <c r="G128" s="1"/>
      <c r="H128" s="10" t="s">
        <v>995</v>
      </c>
      <c r="I128" s="1"/>
      <c r="J128" s="5" t="e">
        <f>SEARCH("skil",H128)</f>
        <v>#VALUE!</v>
      </c>
      <c r="K128" s="1"/>
      <c r="L128" s="3"/>
      <c r="M128" s="1"/>
    </row>
    <row r="129" spans="1:13" x14ac:dyDescent="0.2">
      <c r="A129" s="1"/>
      <c r="B129" s="1"/>
      <c r="C129" s="1"/>
      <c r="D129" s="88" t="str">
        <f>IF(C131="x","Staff","")</f>
        <v/>
      </c>
      <c r="E129" s="1"/>
      <c r="F129" s="1"/>
      <c r="G129" s="1"/>
      <c r="H129" s="88" t="str">
        <f>IF(C131="x","Skills","")</f>
        <v/>
      </c>
      <c r="I129" s="1"/>
      <c r="J129" s="5">
        <f>ABS(ISERR(J128))</f>
        <v>1</v>
      </c>
      <c r="K129" s="5">
        <f>ABS(IF(J129=0,"1","0"))</f>
        <v>0</v>
      </c>
      <c r="L129" s="3" t="s">
        <v>995</v>
      </c>
      <c r="M129" s="1"/>
    </row>
    <row r="130" spans="1:13" x14ac:dyDescent="0.2">
      <c r="A130" s="1"/>
      <c r="B130" s="1"/>
      <c r="C130" s="1"/>
      <c r="D130" s="1"/>
      <c r="E130" s="1"/>
      <c r="F130" s="1"/>
      <c r="G130" s="1"/>
      <c r="H130" s="1"/>
      <c r="I130" s="1"/>
      <c r="J130" s="1"/>
      <c r="K130" s="1"/>
      <c r="L130" s="3"/>
      <c r="M130" s="1"/>
    </row>
    <row r="131" spans="1:13" x14ac:dyDescent="0.2">
      <c r="A131" s="1"/>
      <c r="B131" s="82" t="s">
        <v>1033</v>
      </c>
      <c r="C131" s="318" t="s">
        <v>995</v>
      </c>
      <c r="D131" s="1"/>
      <c r="E131" s="1"/>
      <c r="F131" s="172" t="s">
        <v>438</v>
      </c>
      <c r="G131" s="1"/>
      <c r="H131" s="1"/>
      <c r="I131" s="1"/>
      <c r="J131" s="1"/>
      <c r="K131" s="1"/>
      <c r="L131" s="3"/>
      <c r="M131" s="1"/>
    </row>
    <row r="132" spans="1:13" x14ac:dyDescent="0.2">
      <c r="A132" s="1"/>
      <c r="B132" s="1"/>
      <c r="C132" s="1"/>
      <c r="D132" s="1"/>
      <c r="E132" s="1"/>
      <c r="F132" s="94"/>
      <c r="G132" s="1"/>
      <c r="H132" s="1"/>
      <c r="I132" s="1"/>
      <c r="J132" s="1"/>
      <c r="K132" s="1"/>
      <c r="L132" s="3"/>
      <c r="M132" s="1"/>
    </row>
    <row r="133" spans="1:13" x14ac:dyDescent="0.2">
      <c r="A133" s="14"/>
      <c r="B133" s="14"/>
      <c r="C133" s="14"/>
      <c r="D133" s="14"/>
      <c r="E133" s="14"/>
      <c r="F133" s="101"/>
      <c r="G133" s="14"/>
      <c r="H133" s="14"/>
      <c r="I133" s="14"/>
      <c r="J133" s="1"/>
      <c r="K133" s="1"/>
      <c r="L133" s="3"/>
      <c r="M133" s="1"/>
    </row>
    <row r="134" spans="1:13" x14ac:dyDescent="0.2">
      <c r="A134" s="1"/>
      <c r="B134" s="1"/>
      <c r="C134" s="1"/>
      <c r="D134" s="1"/>
      <c r="E134" s="426"/>
      <c r="F134" s="426"/>
      <c r="G134" s="426"/>
      <c r="H134" s="1"/>
      <c r="I134" s="1"/>
      <c r="J134" s="1"/>
      <c r="K134" s="1"/>
      <c r="L134" s="3"/>
      <c r="M134" s="1"/>
    </row>
    <row r="135" spans="1:13" x14ac:dyDescent="0.2">
      <c r="A135" s="1" t="s">
        <v>862</v>
      </c>
      <c r="B135" s="1" t="s">
        <v>444</v>
      </c>
      <c r="C135" s="1"/>
      <c r="D135" s="1"/>
      <c r="E135" s="426"/>
      <c r="F135" s="426"/>
      <c r="G135" s="426"/>
      <c r="H135" s="1"/>
      <c r="I135" s="1"/>
      <c r="J135" s="1"/>
      <c r="K135" s="1"/>
      <c r="L135" s="3"/>
      <c r="M135" s="1"/>
    </row>
    <row r="136" spans="1:13" x14ac:dyDescent="0.2">
      <c r="A136" s="1"/>
      <c r="B136" s="80" t="s">
        <v>1037</v>
      </c>
      <c r="C136" s="1"/>
      <c r="D136" s="1"/>
      <c r="E136" s="426"/>
      <c r="F136" s="426"/>
      <c r="G136" s="426"/>
      <c r="H136" s="1"/>
      <c r="I136" s="1"/>
      <c r="J136" s="1"/>
      <c r="K136" s="1"/>
      <c r="L136" s="3"/>
      <c r="M136" s="1"/>
    </row>
    <row r="137" spans="1:13" x14ac:dyDescent="0.2">
      <c r="A137" s="1"/>
      <c r="B137" s="81" t="s">
        <v>895</v>
      </c>
      <c r="C137" s="1"/>
      <c r="D137" s="1"/>
      <c r="E137" s="426"/>
      <c r="F137" s="426"/>
      <c r="G137" s="426"/>
      <c r="H137" s="1"/>
      <c r="I137" s="1"/>
      <c r="J137" s="1"/>
      <c r="K137" s="1"/>
      <c r="L137" s="3"/>
      <c r="M137" s="1"/>
    </row>
    <row r="138" spans="1:13" x14ac:dyDescent="0.2">
      <c r="A138" s="1"/>
      <c r="B138" s="1"/>
      <c r="C138" s="1"/>
      <c r="D138" s="1"/>
      <c r="E138" s="426"/>
      <c r="F138" s="426"/>
      <c r="G138" s="426"/>
      <c r="H138" s="1"/>
      <c r="I138" s="1"/>
      <c r="J138" s="1"/>
      <c r="K138" s="1"/>
      <c r="L138" s="3"/>
      <c r="M138" s="1"/>
    </row>
    <row r="139" spans="1:13" x14ac:dyDescent="0.2">
      <c r="A139" s="26" t="s">
        <v>999</v>
      </c>
      <c r="B139" s="22" t="s">
        <v>443</v>
      </c>
      <c r="C139" s="24" t="s">
        <v>995</v>
      </c>
      <c r="D139" s="37" t="str">
        <f>J139</f>
        <v/>
      </c>
      <c r="E139" s="1"/>
      <c r="F139" s="1"/>
      <c r="G139" s="1"/>
      <c r="H139" s="1"/>
      <c r="I139" s="1"/>
      <c r="J139" s="5" t="str">
        <f>IF(C139="x","FOUT","")</f>
        <v/>
      </c>
      <c r="K139" s="5">
        <f>ABS(IF(J139="JUIST","1","0"))</f>
        <v>0</v>
      </c>
      <c r="L139" s="3" t="s">
        <v>995</v>
      </c>
      <c r="M139" s="1"/>
    </row>
    <row r="140" spans="1:13" ht="25.5" x14ac:dyDescent="0.2">
      <c r="A140" s="26" t="s">
        <v>1000</v>
      </c>
      <c r="B140" s="22" t="s">
        <v>2117</v>
      </c>
      <c r="C140" s="24" t="s">
        <v>995</v>
      </c>
      <c r="D140" s="37" t="str">
        <f>J140</f>
        <v/>
      </c>
      <c r="E140" s="1"/>
      <c r="F140" s="483" t="s">
        <v>2014</v>
      </c>
      <c r="G140" s="1"/>
      <c r="H140" s="1"/>
      <c r="I140" s="1"/>
      <c r="J140" s="5" t="str">
        <f>IF(C140="x","JUIST","")</f>
        <v/>
      </c>
      <c r="K140" s="5">
        <f>ABS(IF(J140="JUIST","1","0"))</f>
        <v>0</v>
      </c>
      <c r="L140" s="3">
        <v>1</v>
      </c>
      <c r="M140" s="1"/>
    </row>
    <row r="141" spans="1:13" ht="38.25" x14ac:dyDescent="0.2">
      <c r="A141" s="26" t="s">
        <v>1001</v>
      </c>
      <c r="B141" s="22" t="s">
        <v>2118</v>
      </c>
      <c r="C141" s="24" t="s">
        <v>995</v>
      </c>
      <c r="D141" s="37" t="str">
        <f>J141</f>
        <v/>
      </c>
      <c r="E141" s="1"/>
      <c r="F141" s="64" t="s">
        <v>2015</v>
      </c>
      <c r="G141" s="1"/>
      <c r="H141" s="1"/>
      <c r="I141" s="1"/>
      <c r="J141" s="5" t="str">
        <f>IF(C141="x","FOUT","")</f>
        <v/>
      </c>
      <c r="K141" s="5">
        <f>ABS(IF(J141="JUIST","1","0"))</f>
        <v>0</v>
      </c>
      <c r="L141" s="3"/>
      <c r="M141" s="1"/>
    </row>
    <row r="142" spans="1:13" ht="28.35" customHeight="1" x14ac:dyDescent="0.2">
      <c r="A142" s="26" t="s">
        <v>1002</v>
      </c>
      <c r="B142" s="22" t="s">
        <v>445</v>
      </c>
      <c r="C142" s="24" t="s">
        <v>995</v>
      </c>
      <c r="D142" s="37" t="str">
        <f>J142</f>
        <v/>
      </c>
      <c r="E142" s="1"/>
      <c r="F142" s="500" t="s">
        <v>2016</v>
      </c>
      <c r="G142" s="1"/>
      <c r="H142" s="1"/>
      <c r="I142" s="1"/>
      <c r="J142" s="5" t="str">
        <f>IF(C142="x","FOUT","")</f>
        <v/>
      </c>
      <c r="K142" s="5">
        <f>ABS(IF(J142="JUIST","1","0"))</f>
        <v>0</v>
      </c>
      <c r="L142" s="3"/>
      <c r="M142" s="1"/>
    </row>
    <row r="143" spans="1:13" x14ac:dyDescent="0.2">
      <c r="A143" s="1"/>
      <c r="B143" s="1"/>
      <c r="C143" s="1"/>
      <c r="D143" s="1"/>
      <c r="E143" s="1"/>
      <c r="F143" s="501"/>
      <c r="G143" s="1"/>
      <c r="H143" s="1"/>
      <c r="I143" s="1"/>
      <c r="J143" s="1"/>
      <c r="K143" s="1"/>
      <c r="L143" s="3"/>
      <c r="M143" s="1"/>
    </row>
    <row r="144" spans="1:13" x14ac:dyDescent="0.2">
      <c r="A144" s="1"/>
      <c r="B144" s="82" t="s">
        <v>1033</v>
      </c>
      <c r="C144" s="318" t="s">
        <v>995</v>
      </c>
      <c r="D144" s="1"/>
      <c r="E144" s="461"/>
      <c r="F144" s="502"/>
      <c r="G144" s="1"/>
      <c r="H144" s="1"/>
      <c r="I144" s="1"/>
      <c r="J144" s="1"/>
      <c r="K144" s="1"/>
      <c r="L144" s="3"/>
      <c r="M144" s="1"/>
    </row>
    <row r="145" spans="1:13" x14ac:dyDescent="0.2">
      <c r="A145" s="1"/>
      <c r="B145" s="52" t="str">
        <f>J145</f>
        <v/>
      </c>
      <c r="C145" s="1"/>
      <c r="D145" s="1"/>
      <c r="E145" s="1"/>
      <c r="F145" s="1"/>
      <c r="G145" s="1"/>
      <c r="H145" s="1"/>
      <c r="I145" s="1"/>
      <c r="J145" s="5" t="str">
        <f>IF(C144="x","Het juiste antwoord is: B","")</f>
        <v/>
      </c>
      <c r="K145" s="1"/>
      <c r="L145" s="3"/>
      <c r="M145" s="1"/>
    </row>
    <row r="146" spans="1:13" x14ac:dyDescent="0.2">
      <c r="A146" s="14"/>
      <c r="B146" s="14"/>
      <c r="C146" s="14"/>
      <c r="D146" s="14"/>
      <c r="E146" s="14"/>
      <c r="F146" s="14"/>
      <c r="G146" s="14"/>
      <c r="H146" s="14"/>
      <c r="I146" s="14"/>
      <c r="J146" s="1"/>
      <c r="K146" s="1"/>
      <c r="L146" s="3"/>
      <c r="M146" s="1"/>
    </row>
    <row r="147" spans="1:13" x14ac:dyDescent="0.2">
      <c r="A147" s="1"/>
      <c r="B147" s="1"/>
      <c r="C147" s="1"/>
      <c r="D147" s="1"/>
      <c r="E147" s="1"/>
      <c r="F147" s="1"/>
      <c r="G147" s="1"/>
      <c r="H147" s="1"/>
      <c r="I147" s="1"/>
      <c r="J147" s="1"/>
      <c r="K147" s="1"/>
      <c r="L147" s="3"/>
      <c r="M147" s="1"/>
    </row>
    <row r="148" spans="1:13" ht="26.25" thickBot="1" x14ac:dyDescent="0.25">
      <c r="A148" s="25" t="s">
        <v>870</v>
      </c>
      <c r="B148" s="103" t="s">
        <v>2122</v>
      </c>
      <c r="C148" s="102" t="s">
        <v>446</v>
      </c>
      <c r="D148" s="102" t="s">
        <v>1623</v>
      </c>
      <c r="E148" s="526" t="s">
        <v>2119</v>
      </c>
      <c r="F148" s="527" t="s">
        <v>2120</v>
      </c>
      <c r="G148" s="1"/>
      <c r="H148" s="1"/>
      <c r="I148" s="1"/>
      <c r="J148" s="1"/>
      <c r="K148" s="1"/>
      <c r="L148" s="3"/>
      <c r="M148" s="1"/>
    </row>
    <row r="149" spans="1:13" ht="13.5" thickTop="1" x14ac:dyDescent="0.2">
      <c r="A149" s="1"/>
      <c r="B149" s="103" t="s">
        <v>2121</v>
      </c>
      <c r="C149" s="425" t="s">
        <v>995</v>
      </c>
      <c r="D149" s="425" t="s">
        <v>995</v>
      </c>
      <c r="E149" s="425" t="s">
        <v>995</v>
      </c>
      <c r="F149" s="425" t="s">
        <v>995</v>
      </c>
      <c r="G149" s="1"/>
      <c r="H149" s="1"/>
      <c r="I149" s="1"/>
      <c r="J149" s="5" t="str">
        <f>IF(C149="x","FOUT","")</f>
        <v/>
      </c>
      <c r="K149" s="5">
        <f>ABS(IF(J149="JUIST","1","0"))</f>
        <v>0</v>
      </c>
      <c r="L149" s="3"/>
      <c r="M149" s="1"/>
    </row>
    <row r="150" spans="1:13" ht="25.35" customHeight="1" x14ac:dyDescent="0.2">
      <c r="A150" s="1"/>
      <c r="B150" s="2" t="s">
        <v>2778</v>
      </c>
      <c r="C150" s="1"/>
      <c r="D150" s="1"/>
      <c r="E150" s="1"/>
      <c r="F150" s="1"/>
      <c r="G150" s="1"/>
      <c r="H150" s="1"/>
      <c r="I150" s="1"/>
      <c r="J150" s="5" t="str">
        <f>IF(D149="x","FOUT","")</f>
        <v/>
      </c>
      <c r="K150" s="5">
        <f>ABS(IF(J150="JUIST","1","0"))</f>
        <v>0</v>
      </c>
      <c r="L150" s="3"/>
      <c r="M150" s="1"/>
    </row>
    <row r="151" spans="1:13" x14ac:dyDescent="0.2">
      <c r="A151" s="1"/>
      <c r="B151" s="1"/>
      <c r="C151" s="1"/>
      <c r="D151" s="1"/>
      <c r="E151" s="1"/>
      <c r="F151" s="1"/>
      <c r="G151" s="1"/>
      <c r="H151" s="1"/>
      <c r="I151" s="1"/>
      <c r="J151" s="5" t="str">
        <f>IF(E149="x","JUIST","")</f>
        <v/>
      </c>
      <c r="K151" s="5">
        <f>ABS(IF(J151="JUIST","1","0"))</f>
        <v>0</v>
      </c>
      <c r="L151" s="3">
        <v>1</v>
      </c>
      <c r="M151" s="1"/>
    </row>
    <row r="152" spans="1:13" x14ac:dyDescent="0.2">
      <c r="A152" s="1"/>
      <c r="B152" s="80" t="s">
        <v>333</v>
      </c>
      <c r="C152" s="1"/>
      <c r="D152" s="1"/>
      <c r="E152" s="1"/>
      <c r="F152" s="1"/>
      <c r="G152" s="1"/>
      <c r="H152" s="1"/>
      <c r="I152" s="1"/>
      <c r="J152" s="5" t="str">
        <f>IF(F149="x","FOUT","")</f>
        <v/>
      </c>
      <c r="K152" s="5">
        <f>ABS(IF(J152="JUIST","1","0"))</f>
        <v>0</v>
      </c>
      <c r="L152" s="3"/>
      <c r="M152" s="1"/>
    </row>
    <row r="153" spans="1:13" x14ac:dyDescent="0.2">
      <c r="A153" s="1"/>
      <c r="B153" s="81" t="s">
        <v>895</v>
      </c>
      <c r="C153" s="1"/>
      <c r="D153" s="1"/>
      <c r="E153" s="1"/>
      <c r="F153" s="1"/>
      <c r="G153" s="1"/>
      <c r="H153" s="1"/>
      <c r="I153" s="1"/>
      <c r="J153" s="48" t="s">
        <v>995</v>
      </c>
      <c r="K153" s="1"/>
      <c r="L153" s="3"/>
      <c r="M153" s="1"/>
    </row>
    <row r="154" spans="1:13" x14ac:dyDescent="0.2">
      <c r="A154" s="1"/>
      <c r="B154" s="1"/>
      <c r="C154" s="1"/>
      <c r="D154" s="1"/>
      <c r="E154" s="1"/>
      <c r="F154" s="1"/>
      <c r="G154" s="1"/>
      <c r="H154" s="1"/>
      <c r="I154" s="1"/>
      <c r="J154" s="79"/>
      <c r="K154" s="1"/>
      <c r="L154" s="3"/>
      <c r="M154" s="1"/>
    </row>
    <row r="155" spans="1:13" x14ac:dyDescent="0.2">
      <c r="A155" s="1"/>
      <c r="B155" s="82" t="s">
        <v>1033</v>
      </c>
      <c r="C155" s="318" t="s">
        <v>995</v>
      </c>
      <c r="D155" s="1"/>
      <c r="E155" s="1"/>
      <c r="F155" s="1"/>
      <c r="G155" s="1"/>
      <c r="H155" s="1"/>
      <c r="I155" s="1"/>
      <c r="J155" s="1"/>
      <c r="K155" s="1"/>
      <c r="L155" s="3"/>
      <c r="M155" s="1"/>
    </row>
    <row r="156" spans="1:13" x14ac:dyDescent="0.2">
      <c r="A156" s="1"/>
      <c r="B156" s="52" t="str">
        <f>J156</f>
        <v/>
      </c>
      <c r="C156" s="1"/>
      <c r="D156" s="1"/>
      <c r="E156" s="1"/>
      <c r="F156" s="1"/>
      <c r="G156" s="1"/>
      <c r="H156" s="1"/>
      <c r="I156" s="1"/>
      <c r="J156" s="73" t="str">
        <f>IF(C155="x","Het juiste antwoord is: C","")</f>
        <v/>
      </c>
      <c r="K156" s="1"/>
      <c r="L156" s="3"/>
      <c r="M156" s="1"/>
    </row>
    <row r="157" spans="1:13" x14ac:dyDescent="0.2">
      <c r="A157" s="1"/>
      <c r="B157" s="1"/>
      <c r="C157" s="1"/>
      <c r="D157" s="1"/>
      <c r="E157" s="1"/>
      <c r="F157" s="1"/>
      <c r="G157" s="1"/>
      <c r="H157" s="1"/>
      <c r="I157" s="1"/>
      <c r="J157" s="1"/>
      <c r="K157" s="1"/>
      <c r="L157" s="3"/>
      <c r="M157" s="1"/>
    </row>
    <row r="158" spans="1:13" x14ac:dyDescent="0.2">
      <c r="A158" s="14"/>
      <c r="B158" s="14"/>
      <c r="C158" s="14"/>
      <c r="D158" s="14"/>
      <c r="E158" s="14"/>
      <c r="F158" s="14"/>
      <c r="G158" s="14"/>
      <c r="H158" s="14"/>
      <c r="I158" s="14"/>
      <c r="J158" s="1"/>
      <c r="K158" s="1"/>
      <c r="L158" s="3"/>
      <c r="M158" s="1"/>
    </row>
    <row r="159" spans="1:13" x14ac:dyDescent="0.2">
      <c r="A159" s="1"/>
      <c r="B159" s="1"/>
      <c r="C159" s="1"/>
      <c r="D159" s="1"/>
      <c r="E159" s="1"/>
      <c r="F159" s="1"/>
      <c r="G159" s="1"/>
      <c r="H159" s="1"/>
      <c r="I159" s="1"/>
      <c r="J159" s="1"/>
      <c r="K159" s="1"/>
      <c r="L159" s="3"/>
      <c r="M159" s="1"/>
    </row>
    <row r="160" spans="1:13" x14ac:dyDescent="0.2">
      <c r="A160" s="1" t="s">
        <v>1632</v>
      </c>
      <c r="B160" s="1" t="s">
        <v>2123</v>
      </c>
      <c r="C160" s="1"/>
      <c r="D160" s="1"/>
      <c r="E160" s="1"/>
      <c r="F160" s="1"/>
      <c r="G160" s="1"/>
      <c r="H160" s="1"/>
      <c r="I160" s="1"/>
      <c r="J160" s="1"/>
      <c r="K160" s="1"/>
      <c r="L160" s="3"/>
      <c r="M160" s="1"/>
    </row>
    <row r="161" spans="1:13" x14ac:dyDescent="0.2">
      <c r="A161" s="1"/>
      <c r="B161" s="1" t="s">
        <v>2124</v>
      </c>
      <c r="C161" s="1"/>
      <c r="D161" s="1"/>
      <c r="E161" s="1"/>
      <c r="F161" s="1"/>
      <c r="G161" s="1"/>
      <c r="H161" s="1"/>
      <c r="I161" s="1"/>
      <c r="J161" s="1"/>
      <c r="K161" s="1"/>
      <c r="L161" s="3"/>
      <c r="M161" s="1"/>
    </row>
    <row r="162" spans="1:13" x14ac:dyDescent="0.2">
      <c r="A162" s="1"/>
      <c r="B162" s="1" t="s">
        <v>2125</v>
      </c>
      <c r="C162" s="1"/>
      <c r="D162" s="1"/>
      <c r="E162" s="1"/>
      <c r="F162" s="1"/>
      <c r="G162" s="1"/>
      <c r="H162" s="1"/>
      <c r="I162" s="1"/>
      <c r="J162" s="1"/>
      <c r="K162" s="1"/>
      <c r="L162" s="3"/>
      <c r="M162" s="1"/>
    </row>
    <row r="163" spans="1:13" x14ac:dyDescent="0.2">
      <c r="A163" s="1"/>
      <c r="B163" s="1" t="s">
        <v>1624</v>
      </c>
      <c r="C163" s="1"/>
      <c r="D163" s="1"/>
      <c r="E163" s="1"/>
      <c r="F163" s="1"/>
      <c r="G163" s="1"/>
      <c r="H163" s="1"/>
      <c r="I163" s="1"/>
      <c r="J163" s="1"/>
      <c r="K163" s="1"/>
      <c r="L163" s="3"/>
      <c r="M163" s="1"/>
    </row>
    <row r="164" spans="1:13" x14ac:dyDescent="0.2">
      <c r="A164" s="1"/>
      <c r="B164" s="80" t="s">
        <v>1037</v>
      </c>
      <c r="C164" s="1"/>
      <c r="D164" s="1"/>
      <c r="E164" s="1"/>
      <c r="F164" s="1"/>
      <c r="G164" s="1"/>
      <c r="H164" s="1"/>
      <c r="I164" s="1"/>
      <c r="J164" s="1"/>
      <c r="K164" s="1"/>
      <c r="L164" s="3"/>
      <c r="M164" s="1"/>
    </row>
    <row r="165" spans="1:13" x14ac:dyDescent="0.2">
      <c r="A165" s="1"/>
      <c r="B165" s="81" t="s">
        <v>895</v>
      </c>
      <c r="C165" s="1"/>
      <c r="D165" s="1"/>
      <c r="E165" s="1"/>
      <c r="F165" s="1"/>
      <c r="G165" s="1"/>
      <c r="H165" s="1"/>
      <c r="I165" s="1"/>
      <c r="J165" s="1"/>
      <c r="K165" s="1"/>
      <c r="L165" s="3"/>
      <c r="M165" s="1"/>
    </row>
    <row r="166" spans="1:13" x14ac:dyDescent="0.2">
      <c r="A166" s="1"/>
      <c r="B166" s="1"/>
      <c r="C166" s="1"/>
      <c r="D166" s="1"/>
      <c r="E166" s="1"/>
      <c r="F166" s="1"/>
      <c r="G166" s="1"/>
      <c r="H166" s="1"/>
      <c r="I166" s="1"/>
      <c r="J166" s="1"/>
      <c r="K166" s="1"/>
      <c r="L166" s="3"/>
      <c r="M166" s="1"/>
    </row>
    <row r="167" spans="1:13" x14ac:dyDescent="0.2">
      <c r="A167" s="26" t="s">
        <v>999</v>
      </c>
      <c r="B167" s="245" t="s">
        <v>17</v>
      </c>
      <c r="C167" s="24" t="s">
        <v>995</v>
      </c>
      <c r="D167" s="37" t="str">
        <f>J167</f>
        <v/>
      </c>
      <c r="E167" s="1"/>
      <c r="F167" s="1"/>
      <c r="G167" s="1"/>
      <c r="H167" s="1"/>
      <c r="I167" s="1"/>
      <c r="J167" s="5" t="str">
        <f>IF(C167="x","JUIST","")</f>
        <v/>
      </c>
      <c r="K167" s="5">
        <f>ABS(IF(J167="JUIST","1","0"))</f>
        <v>0</v>
      </c>
      <c r="L167" s="3" t="s">
        <v>995</v>
      </c>
      <c r="M167" s="1"/>
    </row>
    <row r="168" spans="1:13" x14ac:dyDescent="0.2">
      <c r="A168" s="26" t="s">
        <v>1000</v>
      </c>
      <c r="B168" s="22" t="s">
        <v>14</v>
      </c>
      <c r="C168" s="24" t="s">
        <v>995</v>
      </c>
      <c r="D168" s="37" t="str">
        <f>J168</f>
        <v/>
      </c>
      <c r="E168" s="1"/>
      <c r="F168" s="1"/>
      <c r="G168" s="1"/>
      <c r="H168" s="1"/>
      <c r="I168" s="1"/>
      <c r="J168" s="5" t="str">
        <f>IF(C168="x","FOUT","")</f>
        <v/>
      </c>
      <c r="K168" s="5">
        <f>ABS(IF(J168="JUIST","1","0"))</f>
        <v>0</v>
      </c>
      <c r="L168" s="3">
        <v>1</v>
      </c>
      <c r="M168" s="1"/>
    </row>
    <row r="169" spans="1:13" x14ac:dyDescent="0.2">
      <c r="A169" s="26" t="s">
        <v>1001</v>
      </c>
      <c r="B169" s="22" t="s">
        <v>15</v>
      </c>
      <c r="C169" s="24" t="s">
        <v>995</v>
      </c>
      <c r="D169" s="37" t="str">
        <f>J169</f>
        <v/>
      </c>
      <c r="E169" s="1"/>
      <c r="F169" s="1"/>
      <c r="G169" s="1"/>
      <c r="H169" s="1"/>
      <c r="I169" s="1"/>
      <c r="J169" s="5" t="str">
        <f>IF(C169="x","FOUT","")</f>
        <v/>
      </c>
      <c r="K169" s="5">
        <f>ABS(IF(J169="JUIST","1","0"))</f>
        <v>0</v>
      </c>
      <c r="L169" s="3"/>
      <c r="M169" s="1"/>
    </row>
    <row r="170" spans="1:13" x14ac:dyDescent="0.2">
      <c r="A170" s="26" t="s">
        <v>1002</v>
      </c>
      <c r="B170" s="22" t="s">
        <v>16</v>
      </c>
      <c r="C170" s="24" t="s">
        <v>995</v>
      </c>
      <c r="D170" s="37" t="str">
        <f>J170</f>
        <v/>
      </c>
      <c r="E170" s="1"/>
      <c r="F170" s="1"/>
      <c r="G170" s="1"/>
      <c r="H170" s="1"/>
      <c r="I170" s="1"/>
      <c r="J170" s="5" t="str">
        <f>IF(C170="x","FOUT","")</f>
        <v/>
      </c>
      <c r="K170" s="5">
        <f>ABS(IF(J170="JUIST","1","0"))</f>
        <v>0</v>
      </c>
      <c r="L170" s="3"/>
      <c r="M170" s="1"/>
    </row>
    <row r="171" spans="1:13" x14ac:dyDescent="0.2">
      <c r="A171" s="1"/>
      <c r="B171" s="1"/>
      <c r="C171" s="1"/>
      <c r="D171" s="1"/>
      <c r="E171" s="1"/>
      <c r="F171" s="1"/>
      <c r="G171" s="1"/>
      <c r="H171" s="1"/>
      <c r="I171" s="1"/>
      <c r="J171" s="1"/>
      <c r="K171" s="1"/>
      <c r="L171" s="3"/>
      <c r="M171" s="1"/>
    </row>
    <row r="172" spans="1:13" x14ac:dyDescent="0.2">
      <c r="A172" s="1"/>
      <c r="B172" s="82" t="s">
        <v>1033</v>
      </c>
      <c r="C172" s="10" t="s">
        <v>995</v>
      </c>
      <c r="D172" s="1"/>
      <c r="E172" s="1"/>
      <c r="F172" s="1"/>
      <c r="G172" s="1"/>
      <c r="H172" s="1"/>
      <c r="I172" s="1"/>
      <c r="J172" s="1"/>
      <c r="K172" s="1"/>
      <c r="L172" s="3"/>
      <c r="M172" s="1"/>
    </row>
    <row r="173" spans="1:13" x14ac:dyDescent="0.2">
      <c r="A173" s="1"/>
      <c r="B173" s="52" t="str">
        <f>J173</f>
        <v/>
      </c>
      <c r="C173" s="1"/>
      <c r="D173" s="1"/>
      <c r="E173" s="1"/>
      <c r="F173" s="1"/>
      <c r="G173" s="1"/>
      <c r="H173" s="1"/>
      <c r="I173" s="1"/>
      <c r="J173" s="5" t="str">
        <f>IF(C172="x","Het juiste antwoord is: A","")</f>
        <v/>
      </c>
      <c r="K173" s="1"/>
      <c r="L173" s="3"/>
      <c r="M173" s="1"/>
    </row>
    <row r="174" spans="1:13" x14ac:dyDescent="0.2">
      <c r="A174" s="14"/>
      <c r="B174" s="14"/>
      <c r="C174" s="14"/>
      <c r="D174" s="14"/>
      <c r="E174" s="14"/>
      <c r="F174" s="14"/>
      <c r="G174" s="14"/>
      <c r="H174" s="14"/>
      <c r="I174" s="14"/>
      <c r="J174" s="1"/>
      <c r="K174" s="1"/>
      <c r="L174" s="3"/>
      <c r="M174" s="1"/>
    </row>
    <row r="175" spans="1:13" x14ac:dyDescent="0.2">
      <c r="A175" s="1"/>
      <c r="B175" s="1"/>
      <c r="C175" s="1"/>
      <c r="D175" s="1"/>
      <c r="E175" s="1"/>
      <c r="F175" s="1"/>
      <c r="G175" s="1"/>
      <c r="H175" s="1"/>
      <c r="I175" s="1"/>
      <c r="J175" s="1"/>
      <c r="K175" s="1"/>
      <c r="L175" s="3"/>
      <c r="M175" s="1"/>
    </row>
    <row r="176" spans="1:13" x14ac:dyDescent="0.2">
      <c r="A176" s="1" t="s">
        <v>1646</v>
      </c>
      <c r="B176" s="1" t="s">
        <v>2127</v>
      </c>
      <c r="C176" s="1"/>
      <c r="D176" s="1"/>
      <c r="E176" s="1"/>
      <c r="F176" s="1"/>
      <c r="G176" s="1"/>
      <c r="H176" s="1"/>
      <c r="I176" s="1"/>
      <c r="J176" s="1"/>
      <c r="K176" s="1"/>
      <c r="L176" s="3"/>
      <c r="M176" s="1"/>
    </row>
    <row r="177" spans="1:13" x14ac:dyDescent="0.2">
      <c r="A177" s="1"/>
      <c r="B177" s="1" t="s">
        <v>2126</v>
      </c>
      <c r="C177" s="1"/>
      <c r="D177" s="1"/>
      <c r="E177" s="1"/>
      <c r="F177" s="1"/>
      <c r="G177" s="1"/>
      <c r="H177" s="1"/>
      <c r="I177" s="1"/>
      <c r="J177" s="1"/>
      <c r="K177" s="1"/>
      <c r="L177" s="3"/>
      <c r="M177" s="1"/>
    </row>
    <row r="178" spans="1:13" x14ac:dyDescent="0.2">
      <c r="A178" s="1"/>
      <c r="B178" s="1" t="s">
        <v>2128</v>
      </c>
      <c r="C178" s="1"/>
      <c r="D178" s="1"/>
      <c r="E178" s="1"/>
      <c r="F178" s="1"/>
      <c r="G178" s="1"/>
      <c r="H178" s="1"/>
      <c r="I178" s="1"/>
      <c r="J178" s="1"/>
      <c r="K178" s="1"/>
      <c r="L178" s="3"/>
      <c r="M178" s="1"/>
    </row>
    <row r="179" spans="1:13" x14ac:dyDescent="0.2">
      <c r="A179" s="1"/>
      <c r="B179" s="67" t="s">
        <v>2667</v>
      </c>
      <c r="C179" s="1"/>
      <c r="D179" s="1"/>
      <c r="E179" s="1"/>
      <c r="F179" s="1"/>
      <c r="G179" s="1"/>
      <c r="H179" s="1"/>
      <c r="I179" s="1"/>
      <c r="J179" s="1"/>
      <c r="K179" s="1"/>
      <c r="L179" s="3"/>
      <c r="M179" s="1"/>
    </row>
    <row r="180" spans="1:13" x14ac:dyDescent="0.2">
      <c r="A180" s="1"/>
      <c r="B180" s="1" t="s">
        <v>978</v>
      </c>
      <c r="C180" s="1"/>
      <c r="D180" s="1"/>
      <c r="E180" s="1"/>
      <c r="F180" s="1"/>
      <c r="G180" s="1"/>
      <c r="H180" s="1"/>
      <c r="I180" s="1"/>
      <c r="J180" s="1"/>
      <c r="K180" s="1"/>
      <c r="L180" s="3"/>
      <c r="M180" s="1"/>
    </row>
    <row r="181" spans="1:13" x14ac:dyDescent="0.2">
      <c r="A181" s="1"/>
      <c r="B181" s="1" t="s">
        <v>979</v>
      </c>
      <c r="C181" s="1"/>
      <c r="D181" s="1"/>
      <c r="E181" s="1"/>
      <c r="F181" s="1"/>
      <c r="G181" s="1"/>
      <c r="H181" s="1"/>
      <c r="I181" s="1"/>
      <c r="J181" s="1"/>
      <c r="K181" s="1"/>
      <c r="L181" s="3"/>
      <c r="M181" s="1"/>
    </row>
    <row r="182" spans="1:13" x14ac:dyDescent="0.2">
      <c r="A182" s="1"/>
      <c r="B182" s="89" t="s">
        <v>980</v>
      </c>
      <c r="C182" s="1"/>
      <c r="D182" s="1"/>
      <c r="E182" s="1"/>
      <c r="F182" s="1"/>
      <c r="G182" s="1"/>
      <c r="H182" s="1"/>
      <c r="I182" s="1"/>
      <c r="J182" s="1"/>
      <c r="K182" s="1"/>
      <c r="L182" s="3"/>
      <c r="M182" s="1"/>
    </row>
    <row r="183" spans="1:13" x14ac:dyDescent="0.2">
      <c r="A183" s="1"/>
      <c r="B183" s="89" t="s">
        <v>981</v>
      </c>
      <c r="C183" s="10" t="s">
        <v>995</v>
      </c>
      <c r="D183" s="1"/>
      <c r="E183" s="1"/>
      <c r="F183" s="1"/>
      <c r="G183" s="1"/>
      <c r="H183" s="1"/>
      <c r="I183" s="1"/>
      <c r="J183" s="5">
        <f>ABS(IF(C183="Attitude","1","0"))</f>
        <v>0</v>
      </c>
      <c r="K183" s="5">
        <f>J183</f>
        <v>0</v>
      </c>
      <c r="L183" s="3"/>
      <c r="M183" s="1"/>
    </row>
    <row r="184" spans="1:13" x14ac:dyDescent="0.2">
      <c r="A184" s="1"/>
      <c r="B184" s="1"/>
      <c r="C184" s="1"/>
      <c r="D184" s="1"/>
      <c r="E184" s="1"/>
      <c r="F184" s="1"/>
      <c r="G184" s="1"/>
      <c r="H184" s="1"/>
      <c r="I184" s="1"/>
      <c r="J184" s="1"/>
      <c r="K184" s="1"/>
      <c r="L184" s="3"/>
      <c r="M184" s="1"/>
    </row>
    <row r="185" spans="1:13" x14ac:dyDescent="0.2">
      <c r="A185" s="1"/>
      <c r="B185" s="82" t="s">
        <v>1033</v>
      </c>
      <c r="C185" s="318" t="s">
        <v>995</v>
      </c>
      <c r="D185" s="1"/>
      <c r="E185" s="1"/>
      <c r="F185" s="1"/>
      <c r="G185" s="1"/>
      <c r="H185" s="1"/>
      <c r="I185" s="1"/>
      <c r="J185" s="1"/>
      <c r="K185" s="1"/>
      <c r="L185" s="3"/>
      <c r="M185" s="1"/>
    </row>
    <row r="186" spans="1:13" x14ac:dyDescent="0.2">
      <c r="A186" s="1"/>
      <c r="B186" s="52" t="str">
        <f>J186</f>
        <v/>
      </c>
      <c r="C186" s="1"/>
      <c r="D186" s="1"/>
      <c r="E186" s="1"/>
      <c r="F186" s="1"/>
      <c r="G186" s="1"/>
      <c r="H186" s="1"/>
      <c r="I186" s="1"/>
      <c r="J186" s="5" t="str">
        <f>IF(C185="x","De factor A staat voor: Attitude","")</f>
        <v/>
      </c>
      <c r="K186" s="1"/>
      <c r="L186" s="3"/>
      <c r="M186" s="1"/>
    </row>
    <row r="187" spans="1:13" x14ac:dyDescent="0.2">
      <c r="A187" s="14"/>
      <c r="B187" s="14"/>
      <c r="C187" s="14"/>
      <c r="D187" s="14"/>
      <c r="E187" s="14"/>
      <c r="F187" s="14"/>
      <c r="G187" s="14"/>
      <c r="H187" s="14"/>
      <c r="I187" s="14"/>
      <c r="J187" s="1"/>
      <c r="K187" s="1"/>
      <c r="L187" s="3"/>
      <c r="M187" s="1"/>
    </row>
    <row r="188" spans="1:13" x14ac:dyDescent="0.2">
      <c r="A188" s="1"/>
      <c r="B188" s="1"/>
      <c r="C188" s="1"/>
      <c r="D188" s="1"/>
      <c r="E188" s="1"/>
      <c r="F188" s="1"/>
      <c r="G188" s="1"/>
      <c r="H188" s="1"/>
      <c r="I188" s="1"/>
      <c r="J188" s="1"/>
      <c r="K188" s="1"/>
      <c r="L188" s="3"/>
      <c r="M188" s="1"/>
    </row>
    <row r="189" spans="1:13" ht="26.25" thickBot="1" x14ac:dyDescent="0.25">
      <c r="A189" s="25" t="s">
        <v>1659</v>
      </c>
      <c r="B189" s="103" t="s">
        <v>2129</v>
      </c>
      <c r="C189" s="102" t="s">
        <v>446</v>
      </c>
      <c r="D189" s="102" t="s">
        <v>1623</v>
      </c>
      <c r="E189" s="526" t="s">
        <v>2119</v>
      </c>
      <c r="F189" s="527" t="s">
        <v>2120</v>
      </c>
      <c r="G189" s="1"/>
      <c r="H189" s="1"/>
      <c r="I189" s="1"/>
      <c r="J189" s="1"/>
      <c r="K189" s="1"/>
      <c r="L189" s="3"/>
      <c r="M189" s="1"/>
    </row>
    <row r="190" spans="1:13" ht="13.5" thickTop="1" x14ac:dyDescent="0.2">
      <c r="A190" s="1"/>
      <c r="B190" s="103" t="s">
        <v>2130</v>
      </c>
      <c r="C190" s="56" t="s">
        <v>995</v>
      </c>
      <c r="D190" s="56" t="s">
        <v>995</v>
      </c>
      <c r="E190" s="56" t="s">
        <v>995</v>
      </c>
      <c r="F190" s="56" t="s">
        <v>995</v>
      </c>
      <c r="G190" s="1"/>
      <c r="H190" s="1"/>
      <c r="I190" s="1"/>
      <c r="J190" s="5" t="str">
        <f>IF(C190="x","FOUT","")</f>
        <v/>
      </c>
      <c r="K190" s="5">
        <f>ABS(IF(J190="JUIST","1","0"))</f>
        <v>0</v>
      </c>
      <c r="L190" s="3"/>
      <c r="M190" s="1"/>
    </row>
    <row r="191" spans="1:13" x14ac:dyDescent="0.2">
      <c r="A191" s="1"/>
      <c r="B191" s="2" t="s">
        <v>2131</v>
      </c>
      <c r="C191" s="1"/>
      <c r="D191" s="1"/>
      <c r="E191" s="1"/>
      <c r="F191" s="1"/>
      <c r="G191" s="1"/>
      <c r="H191" s="1"/>
      <c r="I191" s="1"/>
      <c r="J191" s="5" t="str">
        <f>IF(D190="x","JUIST","")</f>
        <v/>
      </c>
      <c r="K191" s="5">
        <f>ABS(IF(J191="JUIST","1","0"))</f>
        <v>0</v>
      </c>
      <c r="L191" s="3">
        <v>1</v>
      </c>
      <c r="M191" s="1"/>
    </row>
    <row r="192" spans="1:13" x14ac:dyDescent="0.2">
      <c r="A192" s="1"/>
      <c r="B192" s="1"/>
      <c r="C192" s="1"/>
      <c r="D192" s="1"/>
      <c r="E192" s="1"/>
      <c r="F192" s="1"/>
      <c r="G192" s="1"/>
      <c r="H192" s="1"/>
      <c r="I192" s="1"/>
      <c r="J192" s="5" t="str">
        <f>IF(E190="x","FOUT","")</f>
        <v/>
      </c>
      <c r="K192" s="5">
        <f>ABS(IF(J192="JUIST","1","0"))</f>
        <v>0</v>
      </c>
      <c r="L192" s="3" t="s">
        <v>995</v>
      </c>
      <c r="M192" s="1"/>
    </row>
    <row r="193" spans="1:13" x14ac:dyDescent="0.2">
      <c r="A193" s="1"/>
      <c r="B193" s="80" t="s">
        <v>333</v>
      </c>
      <c r="C193" s="1"/>
      <c r="D193" s="1"/>
      <c r="E193" s="1"/>
      <c r="F193" s="1"/>
      <c r="G193" s="1"/>
      <c r="H193" s="1"/>
      <c r="I193" s="1"/>
      <c r="J193" s="5" t="str">
        <f>IF(F190="x","FOUT","")</f>
        <v/>
      </c>
      <c r="K193" s="5">
        <f>ABS(IF(J193="JUIST","1","0"))</f>
        <v>0</v>
      </c>
      <c r="L193" s="3"/>
      <c r="M193" s="1"/>
    </row>
    <row r="194" spans="1:13" x14ac:dyDescent="0.2">
      <c r="A194" s="1"/>
      <c r="B194" s="81" t="s">
        <v>895</v>
      </c>
      <c r="C194" s="1"/>
      <c r="D194" s="1"/>
      <c r="E194" s="1"/>
      <c r="F194" s="1"/>
      <c r="G194" s="1"/>
      <c r="H194" s="1"/>
      <c r="I194" s="1"/>
      <c r="J194" s="48" t="s">
        <v>995</v>
      </c>
      <c r="K194" s="1"/>
      <c r="L194" s="3"/>
      <c r="M194" s="1"/>
    </row>
    <row r="195" spans="1:13" x14ac:dyDescent="0.2">
      <c r="A195" s="1"/>
      <c r="B195" s="1"/>
      <c r="C195" s="1"/>
      <c r="D195" s="1"/>
      <c r="E195" s="1"/>
      <c r="F195" s="1" t="s">
        <v>995</v>
      </c>
      <c r="G195" s="1"/>
      <c r="H195" s="1"/>
      <c r="I195" s="1"/>
      <c r="J195" s="79"/>
      <c r="K195" s="1"/>
      <c r="L195" s="3"/>
      <c r="M195" s="1"/>
    </row>
    <row r="196" spans="1:13" x14ac:dyDescent="0.2">
      <c r="A196" s="1"/>
      <c r="B196" s="82" t="s">
        <v>1033</v>
      </c>
      <c r="C196" s="318" t="s">
        <v>995</v>
      </c>
      <c r="D196" s="1"/>
      <c r="E196" s="1"/>
      <c r="F196" s="171" t="s">
        <v>1231</v>
      </c>
      <c r="G196" s="1"/>
      <c r="H196" s="1"/>
      <c r="I196" s="1"/>
      <c r="J196" s="1"/>
      <c r="K196" s="1"/>
      <c r="L196" s="3"/>
      <c r="M196" s="1"/>
    </row>
    <row r="197" spans="1:13" x14ac:dyDescent="0.2">
      <c r="A197" s="1"/>
      <c r="B197" s="52" t="str">
        <f>J197</f>
        <v/>
      </c>
      <c r="C197" s="1"/>
      <c r="D197" s="1"/>
      <c r="E197" s="1"/>
      <c r="F197" s="1"/>
      <c r="G197" s="1"/>
      <c r="H197" s="1"/>
      <c r="I197" s="1"/>
      <c r="J197" s="73" t="str">
        <f>IF(C196="x","Het juiste antwoord is: B","")</f>
        <v/>
      </c>
      <c r="K197" s="1"/>
      <c r="L197" s="3"/>
      <c r="M197" s="1"/>
    </row>
    <row r="198" spans="1:13" x14ac:dyDescent="0.2">
      <c r="A198" s="14"/>
      <c r="B198" s="14"/>
      <c r="C198" s="14"/>
      <c r="D198" s="14"/>
      <c r="E198" s="14"/>
      <c r="F198" s="14"/>
      <c r="G198" s="14"/>
      <c r="H198" s="14"/>
      <c r="I198" s="14"/>
      <c r="J198" s="1"/>
      <c r="K198" s="1"/>
      <c r="L198" s="3"/>
      <c r="M198" s="1"/>
    </row>
    <row r="199" spans="1:13" x14ac:dyDescent="0.2">
      <c r="A199" s="1"/>
      <c r="B199" s="1"/>
      <c r="C199" s="1"/>
      <c r="D199" s="1"/>
      <c r="E199" s="1"/>
      <c r="F199" s="1"/>
      <c r="G199" s="1"/>
      <c r="H199" s="1"/>
      <c r="I199" s="1"/>
      <c r="J199" s="1"/>
      <c r="K199" s="1"/>
      <c r="L199" s="3"/>
      <c r="M199" s="1"/>
    </row>
    <row r="200" spans="1:13" x14ac:dyDescent="0.2">
      <c r="A200" s="1" t="s">
        <v>885</v>
      </c>
      <c r="B200" s="339" t="s">
        <v>2132</v>
      </c>
      <c r="C200" s="1"/>
      <c r="D200" s="1"/>
      <c r="E200" s="1"/>
      <c r="F200" s="1"/>
      <c r="G200" s="1"/>
      <c r="H200" s="1"/>
      <c r="I200" s="1"/>
      <c r="J200" s="1"/>
      <c r="K200" s="1"/>
      <c r="L200" s="3"/>
      <c r="M200" s="1"/>
    </row>
    <row r="201" spans="1:13" x14ac:dyDescent="0.2">
      <c r="A201" s="1"/>
      <c r="B201" s="1" t="s">
        <v>986</v>
      </c>
      <c r="C201" s="1"/>
      <c r="D201" s="1"/>
      <c r="E201" s="1" t="s">
        <v>995</v>
      </c>
      <c r="F201" s="1" t="s">
        <v>995</v>
      </c>
      <c r="G201" s="1" t="s">
        <v>995</v>
      </c>
      <c r="H201" s="1"/>
      <c r="I201" s="1"/>
      <c r="J201" s="1"/>
      <c r="K201" s="1"/>
      <c r="L201" s="3"/>
      <c r="M201" s="1"/>
    </row>
    <row r="202" spans="1:13" x14ac:dyDescent="0.2">
      <c r="A202" s="1"/>
      <c r="B202" s="1" t="s">
        <v>987</v>
      </c>
      <c r="C202" s="1"/>
      <c r="D202" s="1"/>
      <c r="E202" s="1"/>
      <c r="F202" s="1"/>
      <c r="G202" s="1"/>
      <c r="H202" s="1"/>
      <c r="I202" s="1"/>
      <c r="J202" s="1"/>
      <c r="K202" s="1"/>
      <c r="L202" s="3"/>
      <c r="M202" s="1"/>
    </row>
    <row r="203" spans="1:13" x14ac:dyDescent="0.2">
      <c r="A203" s="1"/>
      <c r="B203" s="1" t="s">
        <v>988</v>
      </c>
      <c r="C203" s="1"/>
      <c r="D203" s="1"/>
      <c r="E203" s="1"/>
      <c r="F203" s="1"/>
      <c r="G203" s="1"/>
      <c r="H203" s="1"/>
      <c r="I203" s="1"/>
      <c r="J203" s="1"/>
      <c r="K203" s="1"/>
      <c r="L203" s="3"/>
      <c r="M203" s="1"/>
    </row>
    <row r="204" spans="1:13" x14ac:dyDescent="0.2">
      <c r="A204" s="1"/>
      <c r="B204" s="1" t="s">
        <v>18</v>
      </c>
      <c r="C204" s="1"/>
      <c r="D204" s="1"/>
      <c r="E204" s="1"/>
      <c r="F204" s="1"/>
      <c r="G204" s="1"/>
      <c r="H204" s="1"/>
      <c r="I204" s="1"/>
      <c r="J204" s="1"/>
      <c r="K204" s="1"/>
      <c r="L204" s="3"/>
      <c r="M204" s="1"/>
    </row>
    <row r="205" spans="1:13" x14ac:dyDescent="0.2">
      <c r="A205" s="1"/>
      <c r="B205" s="1" t="s">
        <v>989</v>
      </c>
      <c r="C205" s="1"/>
      <c r="D205" s="1"/>
      <c r="E205" s="1"/>
      <c r="F205" s="1"/>
      <c r="G205" s="1"/>
      <c r="H205" s="1"/>
      <c r="I205" s="1"/>
      <c r="J205" s="1"/>
      <c r="K205" s="1"/>
      <c r="L205" s="3"/>
      <c r="M205" s="1"/>
    </row>
    <row r="206" spans="1:13" x14ac:dyDescent="0.2">
      <c r="A206" s="1"/>
      <c r="B206" s="67" t="s">
        <v>990</v>
      </c>
      <c r="C206" s="1"/>
      <c r="D206" s="1"/>
      <c r="E206" s="1"/>
      <c r="F206" s="54" t="s">
        <v>1685</v>
      </c>
      <c r="G206" s="1"/>
      <c r="H206" s="1"/>
      <c r="I206" s="1"/>
      <c r="J206" s="1"/>
      <c r="K206" s="1"/>
      <c r="L206" s="3"/>
      <c r="M206" s="1"/>
    </row>
    <row r="207" spans="1:13" x14ac:dyDescent="0.2">
      <c r="A207" s="1"/>
      <c r="B207" s="67" t="s">
        <v>991</v>
      </c>
      <c r="C207" s="1"/>
      <c r="D207" s="1"/>
      <c r="E207" s="1"/>
      <c r="F207" s="55" t="s">
        <v>1686</v>
      </c>
      <c r="G207" s="1"/>
      <c r="H207" s="1"/>
      <c r="I207" s="1"/>
      <c r="J207" s="1"/>
      <c r="K207" s="1"/>
      <c r="L207" s="3"/>
      <c r="M207" s="1"/>
    </row>
    <row r="208" spans="1:13" x14ac:dyDescent="0.2">
      <c r="A208" s="1"/>
      <c r="B208" s="519" t="s">
        <v>2133</v>
      </c>
      <c r="C208" s="1"/>
      <c r="D208" s="1"/>
      <c r="E208" s="1"/>
      <c r="F208" s="55" t="s">
        <v>1232</v>
      </c>
      <c r="G208" s="1"/>
      <c r="H208" s="1"/>
      <c r="I208" s="1"/>
      <c r="J208" s="1"/>
      <c r="K208" s="1"/>
      <c r="L208" s="3"/>
      <c r="M208" s="1"/>
    </row>
    <row r="209" spans="1:13" x14ac:dyDescent="0.2">
      <c r="A209" s="1"/>
      <c r="B209" s="519" t="s">
        <v>2134</v>
      </c>
      <c r="C209" s="1"/>
      <c r="D209" s="1"/>
      <c r="E209" s="1"/>
      <c r="F209" s="55" t="s">
        <v>1233</v>
      </c>
      <c r="G209" s="1"/>
      <c r="H209" s="1"/>
      <c r="I209" s="1"/>
      <c r="J209" s="1"/>
      <c r="K209" s="1"/>
      <c r="L209" s="3"/>
      <c r="M209" s="1"/>
    </row>
    <row r="210" spans="1:13" x14ac:dyDescent="0.2">
      <c r="A210" s="1"/>
      <c r="B210" s="67" t="s">
        <v>19</v>
      </c>
      <c r="C210" s="1"/>
      <c r="D210" s="1"/>
      <c r="E210" s="1"/>
      <c r="F210" s="55" t="s">
        <v>1683</v>
      </c>
      <c r="G210" s="1"/>
      <c r="H210" s="1"/>
      <c r="I210" s="1"/>
      <c r="J210" s="1"/>
      <c r="K210" s="1"/>
      <c r="L210" s="3"/>
      <c r="M210" s="1"/>
    </row>
    <row r="211" spans="1:13" x14ac:dyDescent="0.2">
      <c r="A211" s="1"/>
      <c r="B211" s="81" t="s">
        <v>20</v>
      </c>
      <c r="C211" s="1"/>
      <c r="D211" s="1"/>
      <c r="E211" s="1"/>
      <c r="F211" s="55"/>
      <c r="G211" s="1"/>
      <c r="H211" s="1"/>
      <c r="I211" s="1"/>
      <c r="K211" s="1"/>
      <c r="L211" s="3"/>
      <c r="M211" s="1"/>
    </row>
    <row r="212" spans="1:13" x14ac:dyDescent="0.2">
      <c r="A212" s="1"/>
      <c r="B212" s="81" t="s">
        <v>2616</v>
      </c>
      <c r="C212" s="503" t="s">
        <v>995</v>
      </c>
      <c r="D212" s="1"/>
      <c r="E212" s="1"/>
      <c r="F212" s="172" t="s">
        <v>332</v>
      </c>
      <c r="G212" s="1"/>
      <c r="H212" s="1"/>
      <c r="I212" s="1"/>
      <c r="J212" s="5" t="str">
        <f>IF(C212=2.67,"JUIST","FOUT")</f>
        <v>FOUT</v>
      </c>
      <c r="K212" s="5">
        <f>ABS(IF(J212="JUIST","1","0"))</f>
        <v>0</v>
      </c>
      <c r="L212" s="3">
        <v>1</v>
      </c>
      <c r="M212" s="1"/>
    </row>
    <row r="213" spans="1:13" x14ac:dyDescent="0.2">
      <c r="A213" s="1"/>
      <c r="B213" s="1"/>
      <c r="C213" s="1"/>
      <c r="D213" s="1"/>
      <c r="E213" s="1"/>
      <c r="F213" s="1"/>
      <c r="G213" s="1"/>
      <c r="H213" s="1"/>
      <c r="I213" s="1"/>
      <c r="J213" s="1"/>
      <c r="K213" s="1"/>
      <c r="L213" s="3"/>
      <c r="M213" s="1"/>
    </row>
    <row r="214" spans="1:13" x14ac:dyDescent="0.2">
      <c r="A214" s="1"/>
      <c r="B214" s="82" t="s">
        <v>1033</v>
      </c>
      <c r="C214" s="318" t="s">
        <v>995</v>
      </c>
      <c r="D214" s="1"/>
      <c r="E214" s="1"/>
      <c r="F214" s="1"/>
      <c r="G214" s="1"/>
      <c r="H214" s="1"/>
      <c r="I214" s="1"/>
      <c r="J214" s="1"/>
      <c r="K214" s="1"/>
      <c r="L214" s="3"/>
      <c r="M214" s="1"/>
    </row>
    <row r="215" spans="1:13" x14ac:dyDescent="0.2">
      <c r="A215" s="1"/>
      <c r="B215" s="52" t="str">
        <f>J215</f>
        <v/>
      </c>
      <c r="C215" s="1"/>
      <c r="D215" s="1"/>
      <c r="E215" s="1"/>
      <c r="F215" s="1"/>
      <c r="G215" s="1"/>
      <c r="H215" s="1"/>
      <c r="I215" s="1"/>
      <c r="J215" s="73" t="str">
        <f>IF(C214="x","Pmax=Rmax(95x19,50=1852,50)/Omin(95x7,30=693,50)=2,67","")</f>
        <v/>
      </c>
      <c r="K215" s="1"/>
      <c r="L215" s="3"/>
      <c r="M215" s="1"/>
    </row>
    <row r="216" spans="1:13" x14ac:dyDescent="0.2">
      <c r="A216" s="14"/>
      <c r="B216" s="14"/>
      <c r="C216" s="14"/>
      <c r="D216" s="14"/>
      <c r="E216" s="14"/>
      <c r="F216" s="14"/>
      <c r="G216" s="14"/>
      <c r="H216" s="14"/>
      <c r="I216" s="14"/>
      <c r="J216" s="1"/>
      <c r="K216" s="1"/>
      <c r="L216" s="3"/>
      <c r="M216" s="1"/>
    </row>
    <row r="217" spans="1:13" x14ac:dyDescent="0.2">
      <c r="A217" s="1"/>
      <c r="B217" s="1"/>
      <c r="C217" s="1"/>
      <c r="D217" s="1"/>
      <c r="E217" s="1"/>
      <c r="F217" s="1"/>
      <c r="G217" s="1"/>
      <c r="H217" s="1"/>
      <c r="I217" s="1"/>
      <c r="J217" s="1"/>
      <c r="K217" s="1"/>
      <c r="L217" s="3"/>
      <c r="M217" s="1"/>
    </row>
    <row r="218" spans="1:13" x14ac:dyDescent="0.2">
      <c r="A218" s="1" t="s">
        <v>897</v>
      </c>
      <c r="B218" s="1" t="s">
        <v>2135</v>
      </c>
      <c r="C218" s="1"/>
      <c r="D218" s="1"/>
      <c r="E218" s="1"/>
      <c r="F218" s="1"/>
      <c r="G218" s="1"/>
      <c r="H218" s="1"/>
      <c r="I218" s="1"/>
      <c r="J218" s="1"/>
      <c r="K218" s="1"/>
      <c r="L218" s="3"/>
      <c r="M218" s="1"/>
    </row>
    <row r="219" spans="1:13" x14ac:dyDescent="0.2">
      <c r="A219" s="1"/>
      <c r="B219" s="1" t="s">
        <v>2136</v>
      </c>
      <c r="C219" s="1"/>
      <c r="D219" s="1"/>
      <c r="E219" s="1"/>
      <c r="F219" s="1"/>
      <c r="G219" s="1"/>
      <c r="H219" s="1"/>
      <c r="I219" s="1"/>
      <c r="J219" s="1"/>
      <c r="K219" s="1"/>
      <c r="L219" s="3"/>
      <c r="M219" s="1"/>
    </row>
    <row r="220" spans="1:13" x14ac:dyDescent="0.2">
      <c r="A220" s="1"/>
      <c r="B220" s="1" t="s">
        <v>1624</v>
      </c>
      <c r="C220" s="1"/>
      <c r="D220" s="1"/>
      <c r="E220" s="1"/>
      <c r="F220" s="1"/>
      <c r="G220" s="1"/>
      <c r="H220" s="1"/>
      <c r="I220" s="1"/>
      <c r="J220" s="1"/>
      <c r="K220" s="1"/>
      <c r="L220" s="3"/>
      <c r="M220" s="1"/>
    </row>
    <row r="221" spans="1:13" x14ac:dyDescent="0.2">
      <c r="A221" s="1"/>
      <c r="B221" s="80" t="s">
        <v>1037</v>
      </c>
      <c r="C221" s="1"/>
      <c r="D221" s="1"/>
      <c r="E221" s="1"/>
      <c r="F221" s="1"/>
      <c r="G221" s="1"/>
      <c r="H221" s="1"/>
      <c r="I221" s="1"/>
      <c r="J221" s="1"/>
      <c r="K221" s="1"/>
      <c r="L221" s="3"/>
      <c r="M221" s="1"/>
    </row>
    <row r="222" spans="1:13" x14ac:dyDescent="0.2">
      <c r="A222" s="1"/>
      <c r="B222" s="81" t="s">
        <v>895</v>
      </c>
      <c r="C222" s="1"/>
      <c r="D222" s="1"/>
      <c r="E222" s="1"/>
      <c r="F222" s="1"/>
      <c r="G222" s="1"/>
      <c r="H222" s="1"/>
      <c r="I222" s="1"/>
      <c r="J222" s="1"/>
      <c r="K222" s="1"/>
      <c r="L222" s="3"/>
      <c r="M222" s="1"/>
    </row>
    <row r="223" spans="1:13" x14ac:dyDescent="0.2">
      <c r="A223" s="1"/>
      <c r="B223" s="1"/>
      <c r="C223" s="1"/>
      <c r="D223" s="1"/>
      <c r="E223" s="1"/>
      <c r="F223" s="1"/>
      <c r="G223" s="1"/>
      <c r="H223" s="1"/>
      <c r="I223" s="1"/>
      <c r="J223" s="1"/>
      <c r="K223" s="1"/>
      <c r="L223" s="3"/>
      <c r="M223" s="1"/>
    </row>
    <row r="224" spans="1:13" x14ac:dyDescent="0.2">
      <c r="A224" s="26" t="s">
        <v>999</v>
      </c>
      <c r="B224" s="22" t="s">
        <v>982</v>
      </c>
      <c r="C224" s="24" t="s">
        <v>995</v>
      </c>
      <c r="D224" s="37" t="str">
        <f>J224</f>
        <v/>
      </c>
      <c r="E224" s="1"/>
      <c r="F224" s="1"/>
      <c r="G224" s="1"/>
      <c r="H224" s="1"/>
      <c r="I224" s="1"/>
      <c r="J224" s="5" t="str">
        <f>IF(C224="x","FOUT","")</f>
        <v/>
      </c>
      <c r="K224" s="5">
        <f>ABS(IF(J224="JUIST","1","0"))</f>
        <v>0</v>
      </c>
      <c r="L224" s="3" t="s">
        <v>995</v>
      </c>
      <c r="M224" s="1"/>
    </row>
    <row r="225" spans="1:13" x14ac:dyDescent="0.2">
      <c r="A225" s="26" t="s">
        <v>1000</v>
      </c>
      <c r="B225" s="245" t="s">
        <v>984</v>
      </c>
      <c r="C225" s="24" t="s">
        <v>995</v>
      </c>
      <c r="D225" s="37" t="str">
        <f>J225</f>
        <v/>
      </c>
      <c r="E225" s="1"/>
      <c r="F225" s="1"/>
      <c r="G225" s="1"/>
      <c r="H225" s="1"/>
      <c r="I225" s="1"/>
      <c r="J225" s="5" t="str">
        <f>IF(C225="x","FOUT","")</f>
        <v/>
      </c>
      <c r="K225" s="5">
        <f>ABS(IF(J225="JUIST","1","0"))</f>
        <v>0</v>
      </c>
      <c r="L225" s="3" t="s">
        <v>995</v>
      </c>
      <c r="M225" s="1"/>
    </row>
    <row r="226" spans="1:13" x14ac:dyDescent="0.2">
      <c r="A226" s="26" t="s">
        <v>1001</v>
      </c>
      <c r="B226" s="245" t="s">
        <v>985</v>
      </c>
      <c r="C226" s="24" t="s">
        <v>995</v>
      </c>
      <c r="D226" s="37" t="str">
        <f>J226</f>
        <v/>
      </c>
      <c r="E226" s="1"/>
      <c r="F226" s="1"/>
      <c r="G226" s="1"/>
      <c r="H226" s="1"/>
      <c r="I226" s="1"/>
      <c r="J226" s="5" t="str">
        <f>IF(C226="x","FOUT","")</f>
        <v/>
      </c>
      <c r="K226" s="5">
        <f>ABS(IF(J226="JUIST","1","0"))</f>
        <v>0</v>
      </c>
      <c r="L226" s="3"/>
      <c r="M226" s="1"/>
    </row>
    <row r="227" spans="1:13" x14ac:dyDescent="0.2">
      <c r="A227" s="26" t="s">
        <v>1002</v>
      </c>
      <c r="B227" s="22" t="s">
        <v>983</v>
      </c>
      <c r="C227" s="24" t="s">
        <v>995</v>
      </c>
      <c r="D227" s="37" t="str">
        <f>J227</f>
        <v/>
      </c>
      <c r="E227" s="1"/>
      <c r="F227" s="1"/>
      <c r="G227" s="1"/>
      <c r="H227" s="1"/>
      <c r="I227" s="1"/>
      <c r="J227" s="5" t="str">
        <f>IF(C227="x","JUIST","")</f>
        <v/>
      </c>
      <c r="K227" s="5">
        <f>ABS(IF(J227="JUIST","1","0"))</f>
        <v>0</v>
      </c>
      <c r="L227" s="3">
        <v>1</v>
      </c>
      <c r="M227" s="1"/>
    </row>
    <row r="228" spans="1:13" x14ac:dyDescent="0.2">
      <c r="A228" s="1"/>
      <c r="B228" s="1"/>
      <c r="C228" s="1"/>
      <c r="D228" s="1"/>
      <c r="E228" s="1"/>
      <c r="F228" s="1"/>
      <c r="G228" s="1"/>
      <c r="H228" s="1"/>
      <c r="I228" s="1"/>
      <c r="J228" s="1"/>
      <c r="K228" s="1"/>
      <c r="L228" s="3"/>
      <c r="M228" s="1"/>
    </row>
    <row r="229" spans="1:13" x14ac:dyDescent="0.2">
      <c r="A229" s="1"/>
      <c r="B229" s="82" t="s">
        <v>1033</v>
      </c>
      <c r="C229" s="10" t="s">
        <v>25</v>
      </c>
      <c r="D229" s="1"/>
      <c r="E229" s="1"/>
      <c r="F229" s="1"/>
      <c r="G229" s="1"/>
      <c r="H229" s="1"/>
      <c r="I229" s="1"/>
      <c r="J229" s="1"/>
      <c r="K229" s="1"/>
      <c r="L229" s="3"/>
      <c r="M229" s="1"/>
    </row>
    <row r="230" spans="1:13" x14ac:dyDescent="0.2">
      <c r="A230" s="1"/>
      <c r="B230" s="52" t="str">
        <f>J230</f>
        <v>Het juiste antwoord is: D. Zie HRM-leerboek paragraaf 2.3</v>
      </c>
      <c r="C230" s="1"/>
      <c r="D230" s="1"/>
      <c r="E230" s="1"/>
      <c r="F230" s="1"/>
      <c r="G230" s="1"/>
      <c r="H230" s="1"/>
      <c r="I230" s="1"/>
      <c r="J230" s="73" t="str">
        <f>IF(C229="x","Het juiste antwoord is: D. Zie HRM-leerboek paragraaf 2.3","")</f>
        <v>Het juiste antwoord is: D. Zie HRM-leerboek paragraaf 2.3</v>
      </c>
      <c r="K230" s="1"/>
      <c r="L230" s="3"/>
      <c r="M230" s="1"/>
    </row>
    <row r="231" spans="1:13" x14ac:dyDescent="0.2">
      <c r="A231" s="14"/>
      <c r="B231" s="14"/>
      <c r="C231" s="14"/>
      <c r="D231" s="14"/>
      <c r="E231" s="14"/>
      <c r="F231" s="14"/>
      <c r="G231" s="14"/>
      <c r="H231" s="14"/>
      <c r="I231" s="14"/>
      <c r="J231" s="14"/>
      <c r="K231" s="14"/>
      <c r="L231" s="104"/>
      <c r="M231" s="1"/>
    </row>
    <row r="232" spans="1:13" ht="13.5" thickBot="1" x14ac:dyDescent="0.25">
      <c r="A232" s="1"/>
      <c r="B232" s="1"/>
      <c r="C232" s="1"/>
      <c r="D232" s="1"/>
      <c r="E232" s="1"/>
      <c r="F232" s="1"/>
      <c r="G232" s="1"/>
      <c r="H232" s="1"/>
      <c r="I232" s="1"/>
      <c r="J232" s="1"/>
      <c r="K232" s="1"/>
      <c r="L232" s="12" t="s">
        <v>256</v>
      </c>
      <c r="M232" s="1"/>
    </row>
    <row r="233" spans="1:13" ht="14.25" thickTop="1" thickBot="1" x14ac:dyDescent="0.25">
      <c r="A233" s="1"/>
      <c r="B233" s="6" t="s">
        <v>265</v>
      </c>
      <c r="C233" s="73">
        <f>L233</f>
        <v>24</v>
      </c>
      <c r="D233" s="1"/>
      <c r="E233" s="1"/>
      <c r="F233" s="1"/>
      <c r="G233" s="1"/>
      <c r="H233" s="1"/>
      <c r="I233" s="1"/>
      <c r="J233" s="16" t="s">
        <v>343</v>
      </c>
      <c r="K233" s="69">
        <f>SUM(K10:K230)</f>
        <v>0</v>
      </c>
      <c r="L233" s="70">
        <f>SUM(L10:L230)</f>
        <v>24</v>
      </c>
      <c r="M233" s="1"/>
    </row>
    <row r="234" spans="1:13" ht="13.5" thickTop="1" x14ac:dyDescent="0.2">
      <c r="A234" s="1"/>
      <c r="B234" s="73" t="s">
        <v>2089</v>
      </c>
      <c r="C234" s="73">
        <f>L233/100</f>
        <v>0.24</v>
      </c>
      <c r="D234" s="1"/>
      <c r="E234" s="1"/>
      <c r="F234" s="1"/>
      <c r="G234" s="1"/>
      <c r="H234" s="1"/>
      <c r="I234" s="1"/>
      <c r="J234" s="16" t="s">
        <v>344</v>
      </c>
      <c r="K234" s="71">
        <f>L233</f>
        <v>24</v>
      </c>
      <c r="L234" s="3"/>
      <c r="M234" s="1"/>
    </row>
    <row r="235" spans="1:13" ht="13.5" thickBot="1" x14ac:dyDescent="0.25">
      <c r="A235" s="1"/>
      <c r="B235" s="54" t="s">
        <v>2137</v>
      </c>
      <c r="C235" s="74">
        <f>K233/C234</f>
        <v>0</v>
      </c>
      <c r="D235" s="1"/>
      <c r="E235" s="1"/>
      <c r="F235" s="1"/>
      <c r="G235" s="1"/>
      <c r="H235" s="1"/>
      <c r="I235" s="1"/>
      <c r="J235" s="1" t="s">
        <v>257</v>
      </c>
      <c r="K235" s="1">
        <f>(100/K234)</f>
        <v>4.166666666666667</v>
      </c>
      <c r="L235" s="3"/>
      <c r="M235" s="1"/>
    </row>
    <row r="236" spans="1:13" ht="19.5" thickTop="1" thickBot="1" x14ac:dyDescent="0.3">
      <c r="A236" s="1"/>
      <c r="B236" s="75" t="s">
        <v>2138</v>
      </c>
      <c r="C236" s="78">
        <f>K236</f>
        <v>0</v>
      </c>
      <c r="D236" s="77" t="str">
        <f>J238</f>
        <v/>
      </c>
      <c r="E236" s="76" t="str">
        <f>IF(D236="Gefeliciteerd!",L238,"")</f>
        <v/>
      </c>
      <c r="F236" s="1"/>
      <c r="G236" s="1"/>
      <c r="H236" s="1"/>
      <c r="I236" s="1"/>
      <c r="J236" s="1" t="s">
        <v>345</v>
      </c>
      <c r="K236" s="72">
        <f>K233*K235/10</f>
        <v>0</v>
      </c>
      <c r="L236" s="3"/>
      <c r="M236" s="1"/>
    </row>
    <row r="237" spans="1:13" ht="13.5" thickTop="1" x14ac:dyDescent="0.2">
      <c r="A237" s="1"/>
      <c r="B237" s="1"/>
      <c r="C237" s="17"/>
      <c r="D237" s="1"/>
      <c r="E237" s="1"/>
      <c r="F237" s="1"/>
      <c r="G237" s="1"/>
      <c r="H237" s="1"/>
      <c r="I237" s="1"/>
      <c r="J237" s="1"/>
      <c r="K237" s="1"/>
      <c r="L237" s="3"/>
      <c r="M237" s="1"/>
    </row>
    <row r="238" spans="1:13" x14ac:dyDescent="0.2">
      <c r="A238" s="1"/>
      <c r="B238" s="1"/>
      <c r="C238" s="1"/>
      <c r="D238" s="1"/>
      <c r="E238" s="1"/>
      <c r="F238" s="1"/>
      <c r="G238" s="1"/>
      <c r="H238" s="1"/>
      <c r="I238" s="1"/>
      <c r="J238" s="6" t="str">
        <f>IF(C236&gt;5.5,L238,"")</f>
        <v/>
      </c>
      <c r="L238" s="3" t="s">
        <v>267</v>
      </c>
      <c r="M238" s="1"/>
    </row>
    <row r="239" spans="1:13" x14ac:dyDescent="0.2">
      <c r="A239" s="1"/>
      <c r="B239" s="1"/>
      <c r="C239" s="1"/>
      <c r="D239" s="1"/>
      <c r="E239" s="1"/>
      <c r="F239" s="1"/>
      <c r="G239" s="1"/>
      <c r="H239" s="1"/>
      <c r="I239" s="1"/>
      <c r="J239" s="1"/>
      <c r="K239" s="1"/>
      <c r="L239" s="3"/>
      <c r="M239" s="1"/>
    </row>
    <row r="240" spans="1:13" x14ac:dyDescent="0.2">
      <c r="A240" s="1"/>
      <c r="B240" s="1"/>
      <c r="C240" s="1"/>
      <c r="D240" s="1"/>
      <c r="E240" s="1"/>
      <c r="F240" s="1"/>
      <c r="G240" s="1"/>
      <c r="H240" s="1"/>
      <c r="I240" s="1"/>
      <c r="J240" s="1"/>
      <c r="K240" s="1"/>
      <c r="L240" s="3"/>
      <c r="M240" s="1"/>
    </row>
    <row r="241" spans="1:13" x14ac:dyDescent="0.2">
      <c r="A241" s="1"/>
      <c r="B241" s="1"/>
      <c r="C241" s="1"/>
      <c r="D241" s="1"/>
      <c r="E241" s="1"/>
      <c r="F241" s="1"/>
      <c r="G241" s="1"/>
      <c r="H241" s="1"/>
      <c r="I241" s="1"/>
      <c r="J241" s="1"/>
      <c r="K241" s="1"/>
      <c r="L241" s="3"/>
      <c r="M241" s="1"/>
    </row>
    <row r="242" spans="1:13" x14ac:dyDescent="0.2">
      <c r="A242" s="1"/>
      <c r="B242" s="1"/>
      <c r="C242" s="1"/>
      <c r="D242" s="1"/>
      <c r="E242" s="1"/>
      <c r="F242" s="1"/>
      <c r="G242" s="1"/>
      <c r="H242" s="1"/>
      <c r="I242" s="1"/>
      <c r="J242" s="1"/>
      <c r="K242" s="1"/>
      <c r="L242" s="3"/>
      <c r="M242" s="1"/>
    </row>
    <row r="243" spans="1:13" x14ac:dyDescent="0.2">
      <c r="A243" s="1"/>
      <c r="B243" s="1"/>
      <c r="C243" s="1"/>
      <c r="D243" s="1"/>
      <c r="E243" s="1"/>
      <c r="F243" s="1"/>
      <c r="G243" s="1"/>
      <c r="H243" s="1"/>
      <c r="I243" s="1"/>
      <c r="J243" s="1"/>
      <c r="K243" s="1"/>
      <c r="L243" s="3"/>
      <c r="M243" s="1"/>
    </row>
    <row r="244" spans="1:13" x14ac:dyDescent="0.2">
      <c r="A244" s="1"/>
      <c r="B244" s="1"/>
      <c r="C244" s="1"/>
      <c r="D244" s="1"/>
      <c r="E244" s="1"/>
      <c r="F244" s="1"/>
      <c r="G244" s="1"/>
      <c r="H244" s="1"/>
      <c r="I244" s="1"/>
      <c r="J244" s="1"/>
      <c r="K244" s="1"/>
      <c r="L244" s="3"/>
      <c r="M244" s="1"/>
    </row>
    <row r="245" spans="1:13" x14ac:dyDescent="0.2">
      <c r="A245" s="1"/>
      <c r="B245" s="1"/>
      <c r="C245" s="1"/>
      <c r="D245" s="1"/>
      <c r="E245" s="1"/>
      <c r="F245" s="1"/>
      <c r="G245" s="1"/>
      <c r="H245" s="1"/>
      <c r="I245" s="1"/>
      <c r="J245" s="1"/>
      <c r="K245" s="1"/>
      <c r="L245" s="3"/>
      <c r="M245" s="1"/>
    </row>
    <row r="246" spans="1:13" x14ac:dyDescent="0.2">
      <c r="A246" s="1"/>
      <c r="B246" s="1"/>
      <c r="C246" s="1"/>
      <c r="D246" s="1"/>
      <c r="E246" s="1"/>
      <c r="F246" s="1"/>
      <c r="G246" s="1"/>
      <c r="H246" s="1"/>
      <c r="I246" s="1"/>
      <c r="J246" s="1"/>
      <c r="K246" s="1"/>
      <c r="L246" s="3"/>
      <c r="M246" s="1"/>
    </row>
    <row r="247" spans="1:13" x14ac:dyDescent="0.2">
      <c r="A247" s="1"/>
      <c r="B247" s="1"/>
      <c r="C247" s="1"/>
      <c r="D247" s="1"/>
      <c r="E247" s="1"/>
      <c r="F247" s="1"/>
      <c r="G247" s="1"/>
      <c r="H247" s="1"/>
      <c r="I247" s="1"/>
      <c r="J247" s="1"/>
      <c r="K247" s="1"/>
      <c r="L247" s="3"/>
      <c r="M247" s="1"/>
    </row>
    <row r="248" spans="1:13" x14ac:dyDescent="0.2">
      <c r="A248" s="1"/>
      <c r="B248" s="1"/>
      <c r="C248" s="1"/>
      <c r="D248" s="1"/>
      <c r="E248" s="1"/>
      <c r="F248" s="1"/>
      <c r="G248" s="1"/>
      <c r="H248" s="1"/>
      <c r="I248" s="1"/>
      <c r="J248" s="1"/>
      <c r="K248" s="1"/>
      <c r="L248" s="3"/>
      <c r="M248" s="1"/>
    </row>
    <row r="249" spans="1:13" x14ac:dyDescent="0.2">
      <c r="A249" s="1"/>
      <c r="B249" s="1"/>
      <c r="C249" s="1"/>
      <c r="D249" s="1"/>
      <c r="E249" s="1"/>
      <c r="F249" s="1"/>
      <c r="G249" s="1"/>
      <c r="H249" s="1"/>
      <c r="I249" s="1"/>
      <c r="J249" s="1"/>
      <c r="K249" s="1"/>
      <c r="L249" s="3"/>
      <c r="M249" s="1"/>
    </row>
    <row r="250" spans="1:13" x14ac:dyDescent="0.2">
      <c r="A250" s="1"/>
      <c r="B250" s="1"/>
      <c r="C250" s="1"/>
      <c r="D250" s="1"/>
      <c r="E250" s="1"/>
      <c r="F250" s="1"/>
      <c r="G250" s="1"/>
      <c r="H250" s="1"/>
      <c r="I250" s="1"/>
      <c r="J250" s="1"/>
      <c r="K250" s="1"/>
      <c r="L250" s="3"/>
      <c r="M250" s="1"/>
    </row>
    <row r="251" spans="1:13" x14ac:dyDescent="0.2">
      <c r="A251" s="1"/>
      <c r="B251" s="1"/>
      <c r="C251" s="1"/>
      <c r="D251" s="1"/>
      <c r="E251" s="1"/>
      <c r="F251" s="1"/>
      <c r="G251" s="1"/>
      <c r="H251" s="1"/>
      <c r="I251" s="1"/>
      <c r="J251" s="1"/>
      <c r="K251" s="1"/>
      <c r="L251" s="3"/>
      <c r="M251" s="1"/>
    </row>
    <row r="252" spans="1:13" x14ac:dyDescent="0.2">
      <c r="A252" s="1"/>
      <c r="B252" s="1"/>
      <c r="C252" s="1"/>
      <c r="D252" s="1"/>
      <c r="E252" s="1"/>
      <c r="F252" s="1"/>
      <c r="G252" s="1"/>
      <c r="H252" s="1"/>
      <c r="I252" s="1"/>
      <c r="J252" s="1"/>
      <c r="K252" s="1"/>
      <c r="L252" s="3"/>
      <c r="M252" s="1"/>
    </row>
    <row r="253" spans="1:13" x14ac:dyDescent="0.2">
      <c r="A253" s="1"/>
      <c r="B253" s="1"/>
      <c r="C253" s="1"/>
      <c r="D253" s="1"/>
      <c r="E253" s="1"/>
      <c r="F253" s="1"/>
      <c r="G253" s="1"/>
      <c r="H253" s="1"/>
      <c r="I253" s="1"/>
      <c r="J253" s="1"/>
      <c r="K253" s="1"/>
      <c r="L253" s="3"/>
      <c r="M253" s="1"/>
    </row>
    <row r="254" spans="1:13" x14ac:dyDescent="0.2">
      <c r="A254" s="1"/>
      <c r="B254" s="1"/>
      <c r="C254" s="1"/>
      <c r="D254" s="1"/>
      <c r="E254" s="1"/>
      <c r="F254" s="1"/>
      <c r="G254" s="1"/>
      <c r="H254" s="1"/>
      <c r="I254" s="1"/>
      <c r="J254" s="1"/>
      <c r="K254" s="1"/>
      <c r="L254" s="3"/>
      <c r="M254" s="1"/>
    </row>
    <row r="255" spans="1:13" x14ac:dyDescent="0.2">
      <c r="A255" s="1"/>
      <c r="B255" s="1"/>
      <c r="C255" s="1"/>
      <c r="D255" s="1"/>
      <c r="E255" s="1"/>
      <c r="F255" s="1"/>
      <c r="G255" s="1"/>
      <c r="H255" s="1"/>
      <c r="I255" s="1"/>
      <c r="J255" s="1"/>
      <c r="K255" s="1"/>
      <c r="L255" s="3"/>
      <c r="M255" s="1"/>
    </row>
    <row r="256" spans="1:13" x14ac:dyDescent="0.2">
      <c r="A256" s="1"/>
      <c r="B256" s="1"/>
      <c r="C256" s="1"/>
      <c r="D256" s="1"/>
      <c r="E256" s="1"/>
      <c r="F256" s="1"/>
      <c r="G256" s="1"/>
      <c r="H256" s="1"/>
      <c r="I256" s="1"/>
      <c r="J256" s="1"/>
      <c r="K256" s="1"/>
      <c r="L256" s="3"/>
      <c r="M256" s="1"/>
    </row>
    <row r="257" spans="1:13" x14ac:dyDescent="0.2">
      <c r="A257" s="1"/>
      <c r="B257" s="1"/>
      <c r="C257" s="1"/>
      <c r="D257" s="1"/>
      <c r="E257" s="1"/>
      <c r="F257" s="1"/>
      <c r="G257" s="1"/>
      <c r="H257" s="1"/>
      <c r="I257" s="1"/>
      <c r="J257" s="1"/>
      <c r="K257" s="1"/>
      <c r="L257" s="3"/>
      <c r="M257" s="1"/>
    </row>
    <row r="258" spans="1:13" x14ac:dyDescent="0.2">
      <c r="A258" s="1"/>
      <c r="B258" s="1"/>
      <c r="C258" s="1"/>
      <c r="D258" s="1"/>
      <c r="E258" s="1"/>
      <c r="F258" s="1"/>
      <c r="G258" s="1"/>
      <c r="H258" s="1"/>
      <c r="I258" s="1"/>
      <c r="J258" s="1"/>
      <c r="K258" s="1"/>
      <c r="L258" s="3"/>
      <c r="M258" s="1"/>
    </row>
    <row r="259" spans="1:13" x14ac:dyDescent="0.2">
      <c r="A259" s="1"/>
      <c r="B259" s="1"/>
      <c r="C259" s="1"/>
      <c r="D259" s="1"/>
      <c r="E259" s="1"/>
      <c r="F259" s="1"/>
      <c r="G259" s="1"/>
      <c r="H259" s="1"/>
      <c r="I259" s="1"/>
      <c r="J259" s="1"/>
      <c r="K259" s="1"/>
      <c r="L259" s="3"/>
      <c r="M259" s="1"/>
    </row>
    <row r="260" spans="1:13" x14ac:dyDescent="0.2">
      <c r="A260" s="1"/>
      <c r="B260" s="1"/>
      <c r="C260" s="1"/>
      <c r="D260" s="1"/>
      <c r="E260" s="1"/>
      <c r="F260" s="1"/>
      <c r="G260" s="1"/>
      <c r="H260" s="1"/>
      <c r="I260" s="1"/>
      <c r="J260" s="1"/>
      <c r="K260" s="1"/>
      <c r="L260" s="3"/>
      <c r="M260" s="1"/>
    </row>
    <row r="261" spans="1:13" x14ac:dyDescent="0.2">
      <c r="A261" s="1"/>
      <c r="B261" s="1"/>
      <c r="C261" s="1"/>
      <c r="D261" s="1"/>
      <c r="E261" s="1"/>
      <c r="F261" s="1"/>
      <c r="G261" s="1"/>
      <c r="H261" s="1"/>
      <c r="I261" s="1"/>
      <c r="J261" s="1"/>
      <c r="K261" s="1"/>
      <c r="L261" s="3"/>
      <c r="M261" s="1"/>
    </row>
    <row r="262" spans="1:13" x14ac:dyDescent="0.2">
      <c r="A262" s="1"/>
      <c r="B262" s="1"/>
      <c r="C262" s="1"/>
      <c r="D262" s="1"/>
      <c r="E262" s="1"/>
      <c r="F262" s="1"/>
      <c r="G262" s="1"/>
      <c r="H262" s="1"/>
      <c r="I262" s="1"/>
      <c r="J262" s="1"/>
      <c r="K262" s="1"/>
      <c r="L262" s="3"/>
      <c r="M262" s="1"/>
    </row>
    <row r="263" spans="1:13" x14ac:dyDescent="0.2">
      <c r="A263" s="1"/>
      <c r="B263" s="1"/>
      <c r="C263" s="1"/>
      <c r="D263" s="1"/>
      <c r="E263" s="1"/>
      <c r="F263" s="1"/>
      <c r="G263" s="1"/>
      <c r="H263" s="1"/>
      <c r="I263" s="1"/>
      <c r="J263" s="1"/>
      <c r="K263" s="1"/>
      <c r="L263" s="3"/>
      <c r="M263" s="1"/>
    </row>
    <row r="264" spans="1:13" x14ac:dyDescent="0.2">
      <c r="A264" s="1"/>
      <c r="B264" s="1"/>
      <c r="C264" s="1"/>
      <c r="D264" s="1"/>
      <c r="E264" s="1"/>
      <c r="F264" s="1"/>
      <c r="G264" s="1"/>
      <c r="H264" s="1"/>
      <c r="I264" s="1"/>
      <c r="J264" s="1"/>
      <c r="K264" s="1"/>
      <c r="L264" s="3"/>
      <c r="M264" s="1"/>
    </row>
    <row r="265" spans="1:13" x14ac:dyDescent="0.2">
      <c r="A265" s="1"/>
      <c r="B265" s="1"/>
      <c r="C265" s="1"/>
      <c r="D265" s="1"/>
      <c r="E265" s="1"/>
      <c r="F265" s="1"/>
      <c r="G265" s="1"/>
      <c r="H265" s="1"/>
      <c r="I265" s="1"/>
      <c r="J265" s="1"/>
      <c r="K265" s="1"/>
      <c r="L265" s="3"/>
      <c r="M265" s="1"/>
    </row>
    <row r="266" spans="1:13" x14ac:dyDescent="0.2">
      <c r="A266" s="1"/>
      <c r="B266" s="1"/>
      <c r="C266" s="1"/>
      <c r="D266" s="1"/>
      <c r="E266" s="1"/>
      <c r="F266" s="1"/>
      <c r="G266" s="1"/>
      <c r="H266" s="1"/>
      <c r="I266" s="1"/>
      <c r="J266" s="1"/>
      <c r="K266" s="1"/>
      <c r="L266" s="3"/>
      <c r="M266" s="1"/>
    </row>
    <row r="267" spans="1:13" x14ac:dyDescent="0.2">
      <c r="A267" s="1"/>
      <c r="B267" s="1"/>
      <c r="C267" s="1"/>
      <c r="D267" s="1"/>
      <c r="E267" s="1"/>
      <c r="F267" s="1"/>
      <c r="G267" s="1"/>
      <c r="H267" s="1"/>
      <c r="I267" s="1"/>
      <c r="J267" s="1"/>
      <c r="K267" s="1"/>
      <c r="L267" s="3"/>
      <c r="M267" s="1"/>
    </row>
    <row r="268" spans="1:13" x14ac:dyDescent="0.2">
      <c r="A268" s="1"/>
      <c r="B268" s="1"/>
      <c r="C268" s="1"/>
      <c r="D268" s="1"/>
      <c r="E268" s="1"/>
      <c r="F268" s="1"/>
      <c r="G268" s="1"/>
      <c r="H268" s="1"/>
      <c r="I268" s="1"/>
      <c r="J268" s="1"/>
      <c r="K268" s="1"/>
      <c r="L268" s="3"/>
      <c r="M268" s="1"/>
    </row>
    <row r="269" spans="1:13" x14ac:dyDescent="0.2">
      <c r="A269" s="1"/>
      <c r="B269" s="1"/>
      <c r="C269" s="1"/>
      <c r="D269" s="1"/>
      <c r="E269" s="1"/>
      <c r="F269" s="1"/>
      <c r="G269" s="1"/>
      <c r="H269" s="1"/>
      <c r="I269" s="1"/>
      <c r="J269" s="1"/>
      <c r="K269" s="1"/>
      <c r="L269" s="3"/>
      <c r="M269" s="1"/>
    </row>
    <row r="270" spans="1:13" x14ac:dyDescent="0.2">
      <c r="A270" s="1"/>
      <c r="B270" s="1"/>
      <c r="C270" s="1"/>
      <c r="D270" s="1"/>
      <c r="E270" s="1"/>
      <c r="F270" s="1"/>
      <c r="G270" s="1"/>
      <c r="H270" s="1"/>
      <c r="I270" s="1"/>
      <c r="J270" s="1"/>
      <c r="K270" s="1"/>
      <c r="L270" s="3"/>
      <c r="M270" s="1"/>
    </row>
    <row r="271" spans="1:13" x14ac:dyDescent="0.2">
      <c r="A271" s="1"/>
      <c r="B271" s="1"/>
      <c r="C271" s="1"/>
      <c r="D271" s="1"/>
      <c r="E271" s="1"/>
      <c r="F271" s="1"/>
      <c r="G271" s="1"/>
      <c r="H271" s="1"/>
      <c r="I271" s="1"/>
      <c r="J271" s="1"/>
      <c r="K271" s="1"/>
      <c r="L271" s="3"/>
      <c r="M271" s="1"/>
    </row>
    <row r="272" spans="1:13" x14ac:dyDescent="0.2">
      <c r="A272" s="1"/>
      <c r="B272" s="1"/>
      <c r="C272" s="1"/>
      <c r="D272" s="1"/>
      <c r="E272" s="1"/>
      <c r="F272" s="1"/>
      <c r="G272" s="1"/>
      <c r="H272" s="1"/>
      <c r="I272" s="1"/>
      <c r="J272" s="1"/>
      <c r="K272" s="1"/>
      <c r="L272" s="3"/>
      <c r="M272" s="1"/>
    </row>
    <row r="273" spans="1:13" x14ac:dyDescent="0.2">
      <c r="A273" s="1"/>
      <c r="B273" s="1"/>
      <c r="C273" s="1"/>
      <c r="D273" s="1"/>
      <c r="E273" s="1"/>
      <c r="F273" s="1"/>
      <c r="G273" s="1"/>
      <c r="H273" s="1"/>
      <c r="I273" s="1"/>
      <c r="J273" s="1"/>
      <c r="K273" s="1"/>
      <c r="L273" s="3"/>
      <c r="M273" s="1"/>
    </row>
    <row r="274" spans="1:13" x14ac:dyDescent="0.2">
      <c r="A274" s="1"/>
      <c r="B274" s="1"/>
      <c r="C274" s="1"/>
      <c r="D274" s="1"/>
      <c r="E274" s="1"/>
      <c r="F274" s="1"/>
      <c r="G274" s="1"/>
      <c r="H274" s="1"/>
      <c r="I274" s="1"/>
      <c r="J274" s="1"/>
      <c r="K274" s="1"/>
      <c r="L274" s="3"/>
      <c r="M274" s="1"/>
    </row>
    <row r="275" spans="1:13" x14ac:dyDescent="0.2">
      <c r="A275" s="1"/>
      <c r="B275" s="1"/>
      <c r="C275" s="1"/>
      <c r="D275" s="1"/>
      <c r="E275" s="1"/>
      <c r="F275" s="1"/>
      <c r="G275" s="1"/>
      <c r="H275" s="1"/>
      <c r="I275" s="1"/>
      <c r="J275" s="1"/>
      <c r="K275" s="1"/>
      <c r="L275" s="3"/>
      <c r="M275" s="1"/>
    </row>
    <row r="276" spans="1:13" x14ac:dyDescent="0.2">
      <c r="A276" s="1"/>
      <c r="B276" s="1"/>
      <c r="C276" s="1"/>
      <c r="D276" s="1"/>
      <c r="E276" s="1"/>
      <c r="F276" s="1"/>
      <c r="G276" s="1"/>
      <c r="H276" s="1"/>
      <c r="I276" s="1"/>
      <c r="J276" s="1"/>
      <c r="K276" s="1"/>
      <c r="L276" s="3"/>
      <c r="M276" s="1"/>
    </row>
    <row r="277" spans="1:13" x14ac:dyDescent="0.2">
      <c r="A277" s="1"/>
      <c r="B277" s="1"/>
      <c r="C277" s="1"/>
      <c r="D277" s="1"/>
      <c r="E277" s="1"/>
      <c r="F277" s="1"/>
      <c r="G277" s="1"/>
      <c r="H277" s="1"/>
      <c r="I277" s="1"/>
      <c r="J277" s="1"/>
      <c r="K277" s="1"/>
      <c r="L277" s="3"/>
      <c r="M277" s="1"/>
    </row>
    <row r="278" spans="1:13" x14ac:dyDescent="0.2">
      <c r="A278" s="1"/>
      <c r="B278" s="1"/>
      <c r="C278" s="1"/>
      <c r="D278" s="1"/>
      <c r="E278" s="1"/>
      <c r="F278" s="1"/>
      <c r="G278" s="1"/>
      <c r="H278" s="1"/>
      <c r="I278" s="1"/>
      <c r="J278" s="1"/>
      <c r="K278" s="1"/>
      <c r="L278" s="3"/>
      <c r="M278" s="1"/>
    </row>
    <row r="279" spans="1:13" x14ac:dyDescent="0.2">
      <c r="A279" s="1"/>
      <c r="B279" s="1"/>
      <c r="C279" s="1"/>
      <c r="D279" s="1"/>
      <c r="E279" s="1"/>
      <c r="F279" s="1"/>
      <c r="G279" s="1"/>
      <c r="H279" s="1"/>
      <c r="I279" s="1"/>
      <c r="J279" s="1"/>
      <c r="K279" s="1"/>
      <c r="L279" s="3"/>
      <c r="M279" s="1"/>
    </row>
    <row r="280" spans="1:13" x14ac:dyDescent="0.2">
      <c r="A280" s="1"/>
      <c r="B280" s="1"/>
      <c r="C280" s="1"/>
      <c r="D280" s="1"/>
      <c r="E280" s="1"/>
      <c r="F280" s="1"/>
      <c r="G280" s="1"/>
      <c r="H280" s="1"/>
      <c r="I280" s="1"/>
      <c r="J280" s="1"/>
      <c r="K280" s="1"/>
      <c r="L280" s="3"/>
      <c r="M280" s="1"/>
    </row>
    <row r="281" spans="1:13" x14ac:dyDescent="0.2">
      <c r="A281" s="1"/>
      <c r="B281" s="1"/>
      <c r="C281" s="1"/>
      <c r="D281" s="1"/>
      <c r="E281" s="1"/>
      <c r="F281" s="1"/>
      <c r="G281" s="1"/>
      <c r="H281" s="1"/>
      <c r="I281" s="1"/>
      <c r="J281" s="1"/>
      <c r="K281" s="1"/>
      <c r="L281" s="3"/>
      <c r="M281" s="1"/>
    </row>
    <row r="282" spans="1:13" x14ac:dyDescent="0.2">
      <c r="A282" s="1"/>
      <c r="B282" s="1"/>
      <c r="C282" s="1"/>
      <c r="D282" s="1"/>
      <c r="E282" s="1"/>
      <c r="F282" s="1"/>
      <c r="G282" s="1"/>
      <c r="H282" s="1"/>
      <c r="I282" s="1"/>
      <c r="J282" s="1"/>
      <c r="K282" s="1"/>
      <c r="L282" s="3"/>
      <c r="M282" s="1"/>
    </row>
    <row r="283" spans="1:13" x14ac:dyDescent="0.2">
      <c r="A283" s="1"/>
      <c r="B283" s="1"/>
      <c r="C283" s="1"/>
      <c r="D283" s="1"/>
      <c r="E283" s="1"/>
      <c r="F283" s="1"/>
      <c r="G283" s="1"/>
      <c r="H283" s="1"/>
      <c r="I283" s="1"/>
      <c r="J283" s="1"/>
      <c r="K283" s="1"/>
      <c r="L283" s="3"/>
      <c r="M283" s="1"/>
    </row>
    <row r="284" spans="1:13" x14ac:dyDescent="0.2">
      <c r="A284" s="1"/>
      <c r="B284" s="1"/>
      <c r="C284" s="1"/>
      <c r="D284" s="1"/>
      <c r="E284" s="1"/>
      <c r="F284" s="1"/>
      <c r="G284" s="1"/>
      <c r="H284" s="1"/>
      <c r="I284" s="1"/>
      <c r="J284" s="1"/>
      <c r="K284" s="1"/>
      <c r="L284" s="3"/>
      <c r="M284" s="1"/>
    </row>
    <row r="285" spans="1:13" x14ac:dyDescent="0.2">
      <c r="A285" s="1"/>
      <c r="B285" s="1"/>
      <c r="C285" s="1"/>
      <c r="D285" s="1"/>
      <c r="E285" s="1"/>
      <c r="F285" s="1"/>
      <c r="G285" s="1"/>
      <c r="H285" s="1"/>
      <c r="I285" s="1"/>
      <c r="J285" s="1"/>
      <c r="K285" s="1"/>
      <c r="L285" s="3"/>
      <c r="M285" s="1"/>
    </row>
    <row r="286" spans="1:13" x14ac:dyDescent="0.2">
      <c r="A286" s="1"/>
      <c r="B286" s="1"/>
      <c r="C286" s="1"/>
      <c r="D286" s="1"/>
      <c r="E286" s="1"/>
      <c r="F286" s="1"/>
      <c r="G286" s="1"/>
      <c r="H286" s="1"/>
      <c r="I286" s="1"/>
      <c r="J286" s="1"/>
      <c r="K286" s="1"/>
      <c r="L286" s="3"/>
      <c r="M286" s="1"/>
    </row>
    <row r="287" spans="1:13" x14ac:dyDescent="0.2">
      <c r="A287" s="1"/>
      <c r="B287" s="1"/>
      <c r="C287" s="1"/>
      <c r="D287" s="1"/>
      <c r="E287" s="1"/>
      <c r="F287" s="1"/>
      <c r="G287" s="1"/>
      <c r="H287" s="1"/>
      <c r="I287" s="1"/>
      <c r="J287" s="1"/>
      <c r="K287" s="1"/>
      <c r="L287" s="3"/>
      <c r="M287" s="1"/>
    </row>
    <row r="288" spans="1:13" x14ac:dyDescent="0.2">
      <c r="A288" s="1"/>
      <c r="B288" s="1"/>
      <c r="C288" s="1"/>
      <c r="D288" s="1"/>
      <c r="E288" s="1"/>
      <c r="F288" s="1"/>
      <c r="G288" s="1"/>
      <c r="H288" s="1"/>
      <c r="I288" s="1"/>
      <c r="J288" s="1"/>
      <c r="K288" s="1"/>
      <c r="L288" s="3"/>
      <c r="M288" s="1"/>
    </row>
    <row r="289" spans="1:13" x14ac:dyDescent="0.2">
      <c r="A289" s="1"/>
      <c r="B289" s="1"/>
      <c r="C289" s="1"/>
      <c r="D289" s="1"/>
      <c r="E289" s="1"/>
      <c r="F289" s="1"/>
      <c r="G289" s="1"/>
      <c r="H289" s="1"/>
      <c r="I289" s="1"/>
      <c r="J289" s="1"/>
      <c r="K289" s="1"/>
      <c r="L289" s="3"/>
      <c r="M289" s="1"/>
    </row>
    <row r="290" spans="1:13" x14ac:dyDescent="0.2">
      <c r="A290" s="1"/>
      <c r="B290" s="1"/>
      <c r="C290" s="1"/>
      <c r="D290" s="1"/>
      <c r="E290" s="1"/>
      <c r="F290" s="1"/>
      <c r="G290" s="1"/>
      <c r="H290" s="1"/>
      <c r="I290" s="1"/>
      <c r="J290" s="1"/>
      <c r="K290" s="1"/>
      <c r="L290" s="3"/>
      <c r="M290" s="1"/>
    </row>
    <row r="291" spans="1:13" x14ac:dyDescent="0.2">
      <c r="A291" s="1"/>
      <c r="B291" s="1"/>
      <c r="C291" s="1"/>
      <c r="D291" s="1"/>
      <c r="E291" s="1"/>
      <c r="F291" s="1"/>
      <c r="G291" s="1"/>
      <c r="H291" s="1"/>
      <c r="I291" s="1"/>
      <c r="J291" s="1"/>
      <c r="K291" s="1"/>
      <c r="L291" s="3"/>
      <c r="M291" s="1"/>
    </row>
    <row r="292" spans="1:13" x14ac:dyDescent="0.2">
      <c r="A292" s="1"/>
      <c r="B292" s="1"/>
      <c r="C292" s="1"/>
      <c r="D292" s="1"/>
      <c r="E292" s="1"/>
      <c r="F292" s="1"/>
      <c r="G292" s="1"/>
      <c r="H292" s="1"/>
      <c r="I292" s="1"/>
      <c r="J292" s="1"/>
      <c r="K292" s="1"/>
      <c r="L292" s="3"/>
      <c r="M292" s="1"/>
    </row>
    <row r="293" spans="1:13" x14ac:dyDescent="0.2">
      <c r="A293" s="1"/>
      <c r="B293" s="1"/>
      <c r="C293" s="1"/>
      <c r="D293" s="1"/>
      <c r="E293" s="1"/>
      <c r="F293" s="1"/>
      <c r="G293" s="1"/>
      <c r="H293" s="1"/>
      <c r="I293" s="1"/>
      <c r="J293" s="1"/>
      <c r="K293" s="1"/>
      <c r="L293" s="3"/>
      <c r="M293" s="1"/>
    </row>
    <row r="294" spans="1:13" x14ac:dyDescent="0.2">
      <c r="A294" s="1"/>
      <c r="B294" s="1"/>
      <c r="C294" s="1"/>
      <c r="D294" s="1"/>
      <c r="E294" s="1"/>
      <c r="F294" s="1"/>
      <c r="G294" s="1"/>
      <c r="H294" s="1"/>
      <c r="I294" s="1"/>
      <c r="J294" s="1"/>
      <c r="K294" s="1"/>
      <c r="L294" s="3"/>
      <c r="M294" s="1"/>
    </row>
    <row r="295" spans="1:13" x14ac:dyDescent="0.2">
      <c r="A295" s="1"/>
      <c r="B295" s="1"/>
      <c r="C295" s="1"/>
      <c r="D295" s="1"/>
      <c r="E295" s="1"/>
      <c r="F295" s="1"/>
      <c r="G295" s="1"/>
      <c r="H295" s="1"/>
      <c r="I295" s="1"/>
      <c r="J295" s="1"/>
      <c r="K295" s="1"/>
      <c r="L295" s="3"/>
      <c r="M295" s="1"/>
    </row>
    <row r="296" spans="1:13" x14ac:dyDescent="0.2">
      <c r="A296" s="1"/>
      <c r="B296" s="1"/>
      <c r="C296" s="1"/>
      <c r="D296" s="1"/>
      <c r="E296" s="1"/>
      <c r="F296" s="1"/>
      <c r="G296" s="1"/>
      <c r="H296" s="1"/>
      <c r="I296" s="1"/>
      <c r="J296" s="1"/>
      <c r="K296" s="1"/>
      <c r="L296" s="3"/>
      <c r="M296" s="1"/>
    </row>
    <row r="297" spans="1:13" x14ac:dyDescent="0.2">
      <c r="A297" s="1"/>
      <c r="B297" s="1"/>
      <c r="C297" s="1"/>
      <c r="D297" s="1"/>
      <c r="E297" s="1"/>
      <c r="F297" s="1"/>
      <c r="G297" s="1"/>
      <c r="H297" s="1"/>
      <c r="I297" s="1"/>
      <c r="J297" s="1"/>
      <c r="K297" s="1"/>
      <c r="L297" s="3"/>
      <c r="M297" s="1"/>
    </row>
    <row r="298" spans="1:13" x14ac:dyDescent="0.2">
      <c r="A298" s="1"/>
      <c r="B298" s="1"/>
      <c r="C298" s="1"/>
      <c r="D298" s="1"/>
      <c r="E298" s="1"/>
      <c r="F298" s="1"/>
      <c r="G298" s="1"/>
      <c r="H298" s="1"/>
      <c r="I298" s="1"/>
      <c r="J298" s="1"/>
      <c r="K298" s="1"/>
      <c r="L298" s="3"/>
      <c r="M298" s="1"/>
    </row>
    <row r="299" spans="1:13" x14ac:dyDescent="0.2">
      <c r="A299" s="1"/>
      <c r="B299" s="1"/>
      <c r="C299" s="1"/>
      <c r="D299" s="1"/>
      <c r="E299" s="1"/>
      <c r="F299" s="1"/>
      <c r="G299" s="1"/>
      <c r="H299" s="1"/>
      <c r="I299" s="1"/>
      <c r="J299" s="1"/>
      <c r="K299" s="1"/>
      <c r="L299" s="3"/>
      <c r="M299" s="1"/>
    </row>
    <row r="300" spans="1:13" x14ac:dyDescent="0.2">
      <c r="A300" s="1"/>
      <c r="B300" s="1"/>
      <c r="C300" s="1"/>
      <c r="D300" s="1"/>
      <c r="E300" s="1"/>
      <c r="F300" s="1"/>
      <c r="G300" s="1"/>
      <c r="H300" s="1"/>
      <c r="I300" s="1"/>
      <c r="J300" s="1"/>
      <c r="K300" s="1"/>
      <c r="L300" s="3"/>
      <c r="M300" s="1"/>
    </row>
    <row r="301" spans="1:13" x14ac:dyDescent="0.2">
      <c r="A301" s="1"/>
      <c r="B301" s="1"/>
      <c r="C301" s="1"/>
      <c r="D301" s="1"/>
      <c r="E301" s="1"/>
      <c r="F301" s="1"/>
      <c r="G301" s="1"/>
      <c r="H301" s="1"/>
      <c r="I301" s="1"/>
      <c r="J301" s="1"/>
      <c r="K301" s="1"/>
      <c r="L301" s="3"/>
      <c r="M301" s="1"/>
    </row>
    <row r="302" spans="1:13" x14ac:dyDescent="0.2">
      <c r="A302" s="1"/>
      <c r="B302" s="1"/>
      <c r="C302" s="1"/>
      <c r="D302" s="1"/>
      <c r="E302" s="1"/>
      <c r="F302" s="1"/>
      <c r="G302" s="1"/>
      <c r="H302" s="1"/>
      <c r="I302" s="1"/>
      <c r="J302" s="1"/>
      <c r="K302" s="1"/>
      <c r="L302" s="3"/>
      <c r="M302" s="1"/>
    </row>
  </sheetData>
  <sheetProtection password="DFAF" sheet="1" objects="1" scenarios="1"/>
  <phoneticPr fontId="2" type="noConversion"/>
  <conditionalFormatting sqref="D236">
    <cfRule type="cellIs" dxfId="515" priority="4" stopIfTrue="1" operator="equal">
      <formula>"gefeliciteerd!"</formula>
    </cfRule>
  </conditionalFormatting>
  <conditionalFormatting sqref="D227 D167 G57 G59 G61 G63 D140">
    <cfRule type="cellIs" dxfId="514" priority="5" stopIfTrue="1" operator="equal">
      <formula>"JUIST"</formula>
    </cfRule>
  </conditionalFormatting>
  <conditionalFormatting sqref="B230 B215 B197 B186 B156 B173 B145">
    <cfRule type="cellIs" dxfId="513" priority="6" stopIfTrue="1" operator="notEqual">
      <formula>$J$16</formula>
    </cfRule>
  </conditionalFormatting>
  <conditionalFormatting sqref="D224:D226 D168:D170 D141:D142 D139">
    <cfRule type="cellIs" dxfId="512" priority="7" stopIfTrue="1" operator="equal">
      <formula>"FOUT"</formula>
    </cfRule>
  </conditionalFormatting>
  <conditionalFormatting sqref="C212">
    <cfRule type="cellIs" dxfId="511" priority="8" stopIfTrue="1" operator="equal">
      <formula>2.67</formula>
    </cfRule>
  </conditionalFormatting>
  <conditionalFormatting sqref="C190 E190:F190 F149 C149:D149 E14">
    <cfRule type="cellIs" dxfId="510" priority="9" stopIfTrue="1" operator="equal">
      <formula>"x"</formula>
    </cfRule>
  </conditionalFormatting>
  <conditionalFormatting sqref="D190 E149 D14">
    <cfRule type="cellIs" dxfId="509" priority="10" stopIfTrue="1" operator="equal">
      <formula>"x"</formula>
    </cfRule>
  </conditionalFormatting>
  <conditionalFormatting sqref="B79">
    <cfRule type="cellIs" dxfId="508" priority="11" stopIfTrue="1" operator="greaterThan">
      <formula>"werktijd"</formula>
    </cfRule>
    <cfRule type="cellIs" dxfId="507" priority="12" stopIfTrue="1" operator="greaterThan">
      <formula>"arbeidsvoorwaarde"</formula>
    </cfRule>
    <cfRule type="cellIs" dxfId="506" priority="13" stopIfTrue="1" operator="greaterThan">
      <formula>"personeelsplanning"</formula>
    </cfRule>
  </conditionalFormatting>
  <conditionalFormatting sqref="E28 C29:D29">
    <cfRule type="cellIs" dxfId="505" priority="15" stopIfTrue="1" operator="equal">
      <formula>"juist"</formula>
    </cfRule>
  </conditionalFormatting>
  <conditionalFormatting sqref="D47:D48">
    <cfRule type="cellIs" dxfId="504" priority="16" stopIfTrue="1" operator="equal">
      <formula>"instroom"</formula>
    </cfRule>
  </conditionalFormatting>
  <conditionalFormatting sqref="F47:F48">
    <cfRule type="cellIs" dxfId="503" priority="17" stopIfTrue="1" operator="equal">
      <formula>"doorstroom"</formula>
    </cfRule>
  </conditionalFormatting>
  <conditionalFormatting sqref="H47:H48">
    <cfRule type="cellIs" dxfId="502" priority="18" stopIfTrue="1" operator="equal">
      <formula>"uitstroom"</formula>
    </cfRule>
  </conditionalFormatting>
  <conditionalFormatting sqref="B48">
    <cfRule type="cellIs" dxfId="501" priority="19" stopIfTrue="1" operator="equal">
      <formula>"De juiste termen zijn:"</formula>
    </cfRule>
  </conditionalFormatting>
  <conditionalFormatting sqref="F57">
    <cfRule type="cellIs" dxfId="500" priority="20" stopIfTrue="1" operator="greaterThan">
      <formula>"zelfregul"</formula>
    </cfRule>
  </conditionalFormatting>
  <conditionalFormatting sqref="F59">
    <cfRule type="cellIs" dxfId="499" priority="21" stopIfTrue="1" operator="greaterThan">
      <formula>"decentralis"</formula>
    </cfRule>
  </conditionalFormatting>
  <conditionalFormatting sqref="F61">
    <cfRule type="cellIs" dxfId="498" priority="22" stopIfTrue="1" operator="greaterThan">
      <formula>"interdepend"</formula>
    </cfRule>
  </conditionalFormatting>
  <conditionalFormatting sqref="F63">
    <cfRule type="cellIs" dxfId="497" priority="23" stopIfTrue="1" operator="greaterThan">
      <formula>"uitbested"</formula>
    </cfRule>
  </conditionalFormatting>
  <conditionalFormatting sqref="F58">
    <cfRule type="cellIs" dxfId="496" priority="24" stopIfTrue="1" operator="equal">
      <formula>"zelfregulatie"</formula>
    </cfRule>
  </conditionalFormatting>
  <conditionalFormatting sqref="F60">
    <cfRule type="cellIs" dxfId="495" priority="25" stopIfTrue="1" operator="equal">
      <formula>"decentraliseren"</formula>
    </cfRule>
  </conditionalFormatting>
  <conditionalFormatting sqref="F62">
    <cfRule type="cellIs" dxfId="494" priority="26" stopIfTrue="1" operator="equal">
      <formula>"interdependentie"</formula>
    </cfRule>
  </conditionalFormatting>
  <conditionalFormatting sqref="F64">
    <cfRule type="cellIs" dxfId="493" priority="27" stopIfTrue="1" operator="equal">
      <formula>"uitbesteden"</formula>
    </cfRule>
  </conditionalFormatting>
  <conditionalFormatting sqref="E89">
    <cfRule type="cellIs" dxfId="492" priority="28" stopIfTrue="1" operator="equal">
      <formula>"ritueel"</formula>
    </cfRule>
    <cfRule type="cellIs" dxfId="491" priority="29" stopIfTrue="1" operator="equal">
      <formula>"rituelen"</formula>
    </cfRule>
  </conditionalFormatting>
  <conditionalFormatting sqref="B82">
    <cfRule type="cellIs" dxfId="490" priority="30" stopIfTrue="1" operator="greaterThan">
      <formula>"aanpassing van:"</formula>
    </cfRule>
  </conditionalFormatting>
  <conditionalFormatting sqref="B117">
    <cfRule type="cellIs" dxfId="489" priority="31" stopIfTrue="1" operator="greaterThan">
      <formula>"(Ook dit"</formula>
    </cfRule>
  </conditionalFormatting>
  <conditionalFormatting sqref="F126">
    <cfRule type="cellIs" dxfId="488" priority="32" stopIfTrue="1" operator="greaterThan">
      <formula>"shared valu"</formula>
    </cfRule>
  </conditionalFormatting>
  <conditionalFormatting sqref="D128 H128">
    <cfRule type="cellIs" dxfId="487" priority="33" stopIfTrue="1" operator="greaterThan">
      <formula>"ski"</formula>
    </cfRule>
    <cfRule type="cellIs" dxfId="486" priority="34" stopIfTrue="1" operator="greaterThan">
      <formula>"staf"</formula>
    </cfRule>
  </conditionalFormatting>
  <conditionalFormatting sqref="D129">
    <cfRule type="cellIs" dxfId="485" priority="35" stopIfTrue="1" operator="equal">
      <formula>"Staff"</formula>
    </cfRule>
  </conditionalFormatting>
  <conditionalFormatting sqref="F127">
    <cfRule type="cellIs" dxfId="484" priority="36" stopIfTrue="1" operator="equal">
      <formula>"Shared values"</formula>
    </cfRule>
  </conditionalFormatting>
  <conditionalFormatting sqref="H129">
    <cfRule type="cellIs" dxfId="483" priority="37" stopIfTrue="1" operator="equal">
      <formula>"Skills"</formula>
    </cfRule>
  </conditionalFormatting>
  <conditionalFormatting sqref="B32">
    <cfRule type="expression" dxfId="482" priority="3" stopIfTrue="1">
      <formula>$C$31="x"</formula>
    </cfRule>
  </conditionalFormatting>
  <conditionalFormatting sqref="B20">
    <cfRule type="expression" dxfId="481" priority="2">
      <formula>$C$19="x"</formula>
    </cfRule>
  </conditionalFormatting>
  <conditionalFormatting sqref="B96">
    <cfRule type="expression" dxfId="480" priority="1">
      <formula>$C$95="x"</formula>
    </cfRule>
  </conditionalFormatting>
  <hyperlinks>
    <hyperlink ref="F121" r:id="rId1"/>
    <hyperlink ref="F212" r:id="rId2"/>
    <hyperlink ref="F131" r:id="rId3"/>
    <hyperlink ref="E91" r:id="rId4"/>
    <hyperlink ref="E93" r:id="rId5"/>
    <hyperlink ref="C107" r:id="rId6"/>
    <hyperlink ref="F142" r:id="rId7" display="deel 1"/>
    <hyperlink ref="F196" r:id="rId8"/>
    <hyperlink ref="B225" r:id="rId9"/>
    <hyperlink ref="B226" r:id="rId10"/>
    <hyperlink ref="B167" r:id="rId11"/>
  </hyperlinks>
  <pageMargins left="0.75" right="0.75" top="1" bottom="1" header="0.5" footer="0.5"/>
  <pageSetup paperSize="9" orientation="portrait" horizontalDpi="1200" verticalDpi="0"/>
  <headerFooter alignWithMargins="0"/>
  <ignoredErrors>
    <ignoredError sqref="D48 F48 H48 D129 F127 H129" unlockedFormula="1"/>
    <ignoredError sqref="J56:J60 J140" formula="1"/>
  </ignoredErrors>
  <drawing r:id="rId12"/>
  <legacyDrawing r:id="rId13"/>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669"/>
  <sheetViews>
    <sheetView showZeros="0" zoomScale="115" zoomScaleNormal="115" zoomScalePageLayoutView="150" workbookViewId="0"/>
  </sheetViews>
  <sheetFormatPr defaultColWidth="8.85546875" defaultRowHeight="12.75" x14ac:dyDescent="0.2"/>
  <cols>
    <col min="1" max="1" width="3.85546875" customWidth="1"/>
    <col min="2" max="2" width="59.5703125" customWidth="1"/>
    <col min="3" max="3" width="17.7109375" customWidth="1"/>
    <col min="4" max="4" width="17.85546875" customWidth="1"/>
    <col min="5" max="5" width="15.85546875" customWidth="1"/>
    <col min="6" max="6" width="17.85546875" customWidth="1"/>
    <col min="7" max="8" width="17.140625" customWidth="1"/>
    <col min="9" max="9" width="2" hidden="1" customWidth="1"/>
    <col min="10" max="10" width="10.7109375" hidden="1" customWidth="1"/>
    <col min="11" max="11" width="8.85546875" hidden="1" customWidth="1"/>
    <col min="12" max="13" width="13.85546875" style="91" hidden="1" customWidth="1"/>
    <col min="14" max="14" width="5.42578125" customWidth="1"/>
  </cols>
  <sheetData>
    <row r="1" spans="1:14" x14ac:dyDescent="0.2">
      <c r="A1" s="1"/>
      <c r="B1" s="105" t="s">
        <v>2617</v>
      </c>
      <c r="C1" s="112" t="s">
        <v>785</v>
      </c>
      <c r="D1" s="1"/>
      <c r="E1" s="1"/>
      <c r="F1" s="1"/>
      <c r="G1" s="1"/>
      <c r="H1" s="1"/>
      <c r="I1" s="1"/>
      <c r="J1" s="1"/>
      <c r="K1" s="1"/>
      <c r="L1" s="3"/>
      <c r="M1" s="3"/>
      <c r="N1" s="1"/>
    </row>
    <row r="2" spans="1:14" x14ac:dyDescent="0.2">
      <c r="A2" s="14"/>
      <c r="B2" s="14"/>
      <c r="C2" s="14"/>
      <c r="D2" s="14"/>
      <c r="E2" s="14"/>
      <c r="F2" s="14"/>
      <c r="G2" s="14"/>
      <c r="H2" s="14"/>
      <c r="I2" s="14"/>
      <c r="J2" s="1"/>
      <c r="K2" s="1"/>
      <c r="L2" s="3"/>
      <c r="M2" s="3"/>
      <c r="N2" s="1"/>
    </row>
    <row r="3" spans="1:14" x14ac:dyDescent="0.2">
      <c r="A3" s="1"/>
      <c r="B3" s="1"/>
      <c r="C3" s="1"/>
      <c r="D3" s="1"/>
      <c r="E3" s="1"/>
      <c r="F3" s="1"/>
      <c r="G3" s="1"/>
      <c r="H3" s="1"/>
      <c r="I3" s="1"/>
      <c r="J3" s="1"/>
      <c r="K3" s="1"/>
      <c r="L3" s="3"/>
      <c r="M3" s="3"/>
      <c r="N3" s="1"/>
    </row>
    <row r="4" spans="1:14" ht="26.25" thickBot="1" x14ac:dyDescent="0.25">
      <c r="A4" s="25" t="s">
        <v>998</v>
      </c>
      <c r="B4" s="103" t="s">
        <v>2139</v>
      </c>
      <c r="C4" s="102" t="s">
        <v>446</v>
      </c>
      <c r="D4" s="102" t="s">
        <v>1623</v>
      </c>
      <c r="E4" s="526" t="s">
        <v>2119</v>
      </c>
      <c r="F4" s="527" t="s">
        <v>2120</v>
      </c>
      <c r="G4" s="1"/>
      <c r="H4" s="1"/>
      <c r="I4" s="1"/>
      <c r="J4" s="1"/>
      <c r="K4" s="1"/>
      <c r="L4" s="3"/>
      <c r="M4" s="3"/>
      <c r="N4" s="1"/>
    </row>
    <row r="5" spans="1:14" ht="13.5" thickTop="1" x14ac:dyDescent="0.2">
      <c r="A5" s="1"/>
      <c r="B5" s="103" t="s">
        <v>2140</v>
      </c>
      <c r="C5" s="56" t="s">
        <v>995</v>
      </c>
      <c r="D5" s="56" t="s">
        <v>995</v>
      </c>
      <c r="E5" s="56" t="s">
        <v>995</v>
      </c>
      <c r="F5" s="56" t="s">
        <v>995</v>
      </c>
      <c r="G5" s="1"/>
      <c r="H5" s="1"/>
      <c r="I5" s="1"/>
      <c r="J5" s="5" t="str">
        <f>IF(C5="x","FOUT","")</f>
        <v/>
      </c>
      <c r="K5" s="5">
        <f>ABS(IF(J5="JUIST","1","0"))</f>
        <v>0</v>
      </c>
      <c r="L5" s="3"/>
      <c r="M5" s="79" t="s">
        <v>995</v>
      </c>
      <c r="N5" s="1"/>
    </row>
    <row r="6" spans="1:14" ht="14.1" customHeight="1" x14ac:dyDescent="0.2">
      <c r="A6" s="1"/>
      <c r="B6" s="2" t="s">
        <v>776</v>
      </c>
      <c r="C6" s="3" t="s">
        <v>475</v>
      </c>
      <c r="D6" s="3" t="s">
        <v>476</v>
      </c>
      <c r="E6" s="3" t="s">
        <v>477</v>
      </c>
      <c r="F6" s="3" t="s">
        <v>478</v>
      </c>
      <c r="G6" s="1"/>
      <c r="H6" s="1"/>
      <c r="I6" s="1"/>
      <c r="J6" s="5" t="str">
        <f>IF(D5="x","FOUT","")</f>
        <v/>
      </c>
      <c r="K6" s="5">
        <f>ABS(IF(J6="JUIST","1","0"))</f>
        <v>0</v>
      </c>
      <c r="L6" s="3"/>
      <c r="M6" s="79" t="s">
        <v>995</v>
      </c>
      <c r="N6" s="1"/>
    </row>
    <row r="7" spans="1:14" x14ac:dyDescent="0.2">
      <c r="A7" s="1"/>
      <c r="B7" s="80" t="s">
        <v>333</v>
      </c>
      <c r="C7" s="1"/>
      <c r="D7" s="1"/>
      <c r="E7" s="1"/>
      <c r="F7" s="1"/>
      <c r="G7" s="1"/>
      <c r="H7" s="1"/>
      <c r="I7" s="1"/>
      <c r="J7" s="5" t="str">
        <f>IF(E5="x","FOUT","")</f>
        <v/>
      </c>
      <c r="K7" s="5">
        <f>ABS(IF(J7="JUIST","1","0"))</f>
        <v>0</v>
      </c>
      <c r="L7" s="3" t="s">
        <v>995</v>
      </c>
      <c r="M7" s="79">
        <v>0</v>
      </c>
      <c r="N7" s="1"/>
    </row>
    <row r="8" spans="1:14" x14ac:dyDescent="0.2">
      <c r="A8" s="1"/>
      <c r="B8" s="81" t="s">
        <v>895</v>
      </c>
      <c r="C8" s="1"/>
      <c r="D8" s="1"/>
      <c r="E8" s="1"/>
      <c r="F8" s="1"/>
      <c r="G8" s="1"/>
      <c r="H8" s="1"/>
      <c r="I8" s="1"/>
      <c r="J8" s="5" t="str">
        <f>IF(F5="x","JUIST","")</f>
        <v/>
      </c>
      <c r="K8" s="5">
        <f>ABS(IF(J8="JUIST","1","0"))</f>
        <v>0</v>
      </c>
      <c r="L8" s="3">
        <v>1</v>
      </c>
      <c r="M8" s="3"/>
      <c r="N8" s="1"/>
    </row>
    <row r="9" spans="1:14" x14ac:dyDescent="0.2">
      <c r="A9" s="1"/>
      <c r="C9" s="1"/>
      <c r="D9" s="1"/>
      <c r="E9" s="1"/>
      <c r="F9" s="1"/>
      <c r="G9" s="1"/>
      <c r="H9" s="1"/>
      <c r="I9" s="1"/>
      <c r="J9" s="48" t="s">
        <v>995</v>
      </c>
      <c r="K9" s="1"/>
      <c r="L9" s="3"/>
      <c r="M9" s="3"/>
      <c r="N9" s="1"/>
    </row>
    <row r="10" spans="1:14" x14ac:dyDescent="0.2">
      <c r="A10" s="1"/>
      <c r="B10" s="82" t="s">
        <v>1033</v>
      </c>
      <c r="C10" s="318" t="s">
        <v>995</v>
      </c>
      <c r="D10" s="1"/>
      <c r="E10" s="1"/>
      <c r="F10" s="1"/>
      <c r="G10" s="1"/>
      <c r="H10" s="1"/>
      <c r="I10" s="1"/>
      <c r="J10" s="1"/>
      <c r="K10" s="1"/>
      <c r="L10" s="3"/>
      <c r="M10" s="3"/>
      <c r="N10" s="1"/>
    </row>
    <row r="11" spans="1:14" x14ac:dyDescent="0.2">
      <c r="A11" s="1"/>
      <c r="B11" s="52" t="str">
        <f>J11</f>
        <v/>
      </c>
      <c r="C11" s="1"/>
      <c r="D11" s="1"/>
      <c r="E11" s="1"/>
      <c r="F11" s="1"/>
      <c r="G11" s="1"/>
      <c r="H11" s="1"/>
      <c r="I11" s="1"/>
      <c r="J11" s="73" t="str">
        <f>IF(C10="x","Het juiste antwoord is: D","")</f>
        <v/>
      </c>
      <c r="K11" s="1"/>
      <c r="L11" s="3"/>
      <c r="M11" s="3"/>
      <c r="N11" s="1"/>
    </row>
    <row r="12" spans="1:14" x14ac:dyDescent="0.2">
      <c r="A12" s="1"/>
      <c r="B12" s="1"/>
      <c r="C12" s="1"/>
      <c r="D12" s="1"/>
      <c r="E12" s="1"/>
      <c r="F12" s="1"/>
      <c r="G12" s="1"/>
      <c r="H12" s="1"/>
      <c r="I12" s="1"/>
      <c r="J12" s="1"/>
      <c r="K12" s="1"/>
      <c r="L12" s="3"/>
      <c r="M12" s="3"/>
      <c r="N12" s="1"/>
    </row>
    <row r="13" spans="1:14" x14ac:dyDescent="0.2">
      <c r="A13" s="14"/>
      <c r="B13" s="14"/>
      <c r="C13" s="14"/>
      <c r="D13" s="14"/>
      <c r="E13" s="14"/>
      <c r="F13" s="14"/>
      <c r="G13" s="14"/>
      <c r="H13" s="14"/>
      <c r="I13" s="14"/>
      <c r="J13" s="1"/>
      <c r="K13" s="1"/>
      <c r="L13" s="3"/>
      <c r="M13" s="3"/>
      <c r="N13" s="1"/>
    </row>
    <row r="14" spans="1:14" x14ac:dyDescent="0.2">
      <c r="A14" s="1"/>
      <c r="B14" s="1"/>
      <c r="C14" s="1"/>
      <c r="D14" s="1"/>
      <c r="E14" s="1"/>
      <c r="F14" s="1"/>
      <c r="G14" s="1"/>
      <c r="H14" s="1"/>
      <c r="I14" s="1"/>
      <c r="J14" s="1"/>
      <c r="K14" s="1"/>
      <c r="L14" s="3"/>
      <c r="M14" s="3"/>
      <c r="N14" s="1"/>
    </row>
    <row r="15" spans="1:14" ht="29.1" customHeight="1" thickBot="1" x14ac:dyDescent="0.25">
      <c r="A15" s="25" t="s">
        <v>1006</v>
      </c>
      <c r="B15" s="103" t="s">
        <v>2141</v>
      </c>
      <c r="C15" s="102" t="s">
        <v>446</v>
      </c>
      <c r="D15" s="102" t="s">
        <v>1623</v>
      </c>
      <c r="E15" s="526" t="s">
        <v>2119</v>
      </c>
      <c r="F15" s="527" t="s">
        <v>2120</v>
      </c>
      <c r="G15" s="1"/>
      <c r="H15" s="1"/>
      <c r="I15" s="1"/>
      <c r="J15" s="1"/>
      <c r="K15" s="1"/>
      <c r="L15" s="3"/>
      <c r="M15" s="3"/>
      <c r="N15" s="1"/>
    </row>
    <row r="16" spans="1:14" ht="13.5" thickTop="1" x14ac:dyDescent="0.2">
      <c r="A16" s="1"/>
      <c r="B16" s="103" t="s">
        <v>2142</v>
      </c>
      <c r="C16" s="56" t="s">
        <v>995</v>
      </c>
      <c r="D16" s="56" t="s">
        <v>995</v>
      </c>
      <c r="E16" s="425" t="s">
        <v>995</v>
      </c>
      <c r="F16" s="56" t="s">
        <v>995</v>
      </c>
      <c r="G16" s="1"/>
      <c r="H16" s="1"/>
      <c r="I16" s="1"/>
      <c r="J16" s="5" t="str">
        <f>IF(C16="x","FOUT","")</f>
        <v/>
      </c>
      <c r="K16" s="5">
        <f>ABS(IF(J16="JUIST","1","0"))</f>
        <v>0</v>
      </c>
      <c r="L16" s="3"/>
      <c r="M16" s="3"/>
      <c r="N16" s="1"/>
    </row>
    <row r="17" spans="1:14" x14ac:dyDescent="0.2">
      <c r="A17" s="1"/>
      <c r="B17" s="80" t="s">
        <v>333</v>
      </c>
      <c r="C17" s="3" t="s">
        <v>475</v>
      </c>
      <c r="D17" s="3" t="s">
        <v>476</v>
      </c>
      <c r="E17" s="3" t="s">
        <v>477</v>
      </c>
      <c r="F17" s="3" t="s">
        <v>478</v>
      </c>
      <c r="G17" s="1"/>
      <c r="H17" s="1"/>
      <c r="I17" s="1"/>
      <c r="J17" s="5" t="str">
        <f>IF(D16="x","FOUT","")</f>
        <v/>
      </c>
      <c r="K17" s="5">
        <f>ABS(IF(J17="JUIST","1","0"))</f>
        <v>0</v>
      </c>
      <c r="L17" s="3"/>
      <c r="M17" s="3"/>
      <c r="N17" s="1"/>
    </row>
    <row r="18" spans="1:14" x14ac:dyDescent="0.2">
      <c r="A18" s="1"/>
      <c r="B18" s="81" t="s">
        <v>895</v>
      </c>
      <c r="C18" s="1"/>
      <c r="D18" s="1"/>
      <c r="E18" s="1"/>
      <c r="F18" s="1"/>
      <c r="G18" s="1"/>
      <c r="H18" s="1"/>
      <c r="I18" s="1"/>
      <c r="J18" s="5" t="str">
        <f>IF(E16="x","FOUT","")</f>
        <v/>
      </c>
      <c r="K18" s="5">
        <f>ABS(IF(J18="JUIST","1","0"))</f>
        <v>0</v>
      </c>
      <c r="L18" s="3" t="s">
        <v>995</v>
      </c>
      <c r="M18" s="3"/>
      <c r="N18" s="1"/>
    </row>
    <row r="19" spans="1:14" x14ac:dyDescent="0.2">
      <c r="A19" s="1"/>
      <c r="B19" s="1"/>
      <c r="C19" s="1"/>
      <c r="D19" s="1"/>
      <c r="E19" s="1"/>
      <c r="F19" s="1"/>
      <c r="G19" s="1"/>
      <c r="H19" s="1"/>
      <c r="I19" s="1"/>
      <c r="J19" s="5" t="str">
        <f>IF(F16="x","JUIST","")</f>
        <v/>
      </c>
      <c r="K19" s="5">
        <f>ABS(IF(J19="JUIST","1","0"))</f>
        <v>0</v>
      </c>
      <c r="L19" s="3">
        <v>1</v>
      </c>
      <c r="M19" s="3"/>
      <c r="N19" s="1"/>
    </row>
    <row r="20" spans="1:14" x14ac:dyDescent="0.2">
      <c r="A20" s="1"/>
      <c r="B20" s="82" t="s">
        <v>1033</v>
      </c>
      <c r="C20" s="318" t="s">
        <v>995</v>
      </c>
      <c r="D20" s="1"/>
      <c r="E20" s="1"/>
      <c r="F20" s="1"/>
      <c r="G20" s="1"/>
      <c r="H20" s="1"/>
      <c r="I20" s="1"/>
      <c r="J20" s="1"/>
      <c r="K20" s="1"/>
      <c r="L20" s="3"/>
      <c r="M20" s="3"/>
      <c r="N20" s="1"/>
    </row>
    <row r="21" spans="1:14" x14ac:dyDescent="0.2">
      <c r="A21" s="1"/>
      <c r="B21" s="52" t="str">
        <f>J21</f>
        <v/>
      </c>
      <c r="C21" s="1"/>
      <c r="D21" s="1"/>
      <c r="E21" s="1"/>
      <c r="F21" s="1"/>
      <c r="G21" s="1"/>
      <c r="H21" s="1"/>
      <c r="I21" s="1"/>
      <c r="J21" s="73" t="str">
        <f>IF(C20="x","Het juiste antwoord is: D","")</f>
        <v/>
      </c>
      <c r="K21" s="1"/>
      <c r="L21" s="3"/>
      <c r="M21" s="3"/>
      <c r="N21" s="1"/>
    </row>
    <row r="22" spans="1:14" x14ac:dyDescent="0.2">
      <c r="A22" s="1"/>
      <c r="B22" s="1"/>
      <c r="C22" s="1"/>
      <c r="D22" s="1"/>
      <c r="E22" s="1"/>
      <c r="F22" s="1"/>
      <c r="G22" s="1"/>
      <c r="H22" s="1"/>
      <c r="I22" s="1"/>
      <c r="J22" s="1"/>
      <c r="K22" s="1"/>
      <c r="L22" s="3"/>
      <c r="M22" s="3"/>
      <c r="N22" s="1"/>
    </row>
    <row r="23" spans="1:14" x14ac:dyDescent="0.2">
      <c r="A23" s="14"/>
      <c r="B23" s="14"/>
      <c r="C23" s="14"/>
      <c r="D23" s="14"/>
      <c r="E23" s="14"/>
      <c r="F23" s="14"/>
      <c r="G23" s="14"/>
      <c r="H23" s="14"/>
      <c r="I23" s="14"/>
      <c r="J23" s="1"/>
      <c r="K23" s="1"/>
      <c r="L23" s="3"/>
      <c r="M23" s="3"/>
      <c r="N23" s="1"/>
    </row>
    <row r="24" spans="1:14" x14ac:dyDescent="0.2">
      <c r="A24" s="1"/>
      <c r="B24" s="1"/>
      <c r="C24" s="1"/>
      <c r="D24" s="1"/>
      <c r="E24" s="1"/>
      <c r="F24" s="1"/>
      <c r="G24" s="1"/>
      <c r="H24" s="1"/>
      <c r="I24" s="1"/>
      <c r="J24" s="1"/>
      <c r="K24" s="1"/>
      <c r="L24" s="3"/>
      <c r="M24" s="3"/>
      <c r="N24" s="1"/>
    </row>
    <row r="25" spans="1:14" x14ac:dyDescent="0.2">
      <c r="A25" s="1" t="s">
        <v>1032</v>
      </c>
      <c r="B25" s="1" t="s">
        <v>2143</v>
      </c>
      <c r="C25" s="1"/>
      <c r="D25" s="1"/>
      <c r="E25" s="1"/>
      <c r="F25" s="1"/>
      <c r="G25" s="1"/>
      <c r="H25" s="1"/>
      <c r="I25" s="1"/>
      <c r="J25" s="1"/>
      <c r="K25" s="1"/>
      <c r="L25" s="3"/>
      <c r="M25" s="3"/>
      <c r="N25" s="1"/>
    </row>
    <row r="26" spans="1:14" x14ac:dyDescent="0.2">
      <c r="A26" s="1"/>
      <c r="B26" s="80" t="s">
        <v>1037</v>
      </c>
      <c r="C26" s="1"/>
      <c r="D26" s="1"/>
      <c r="E26" s="1"/>
      <c r="F26" s="1"/>
      <c r="G26" s="1"/>
      <c r="H26" s="1"/>
      <c r="I26" s="1"/>
      <c r="J26" s="1"/>
      <c r="K26" s="1"/>
      <c r="L26" s="3"/>
      <c r="M26" s="3"/>
      <c r="N26" s="1"/>
    </row>
    <row r="27" spans="1:14" x14ac:dyDescent="0.2">
      <c r="A27" s="1"/>
      <c r="B27" s="81" t="s">
        <v>895</v>
      </c>
      <c r="C27" s="1"/>
      <c r="D27" s="1"/>
      <c r="E27" s="1"/>
      <c r="F27" s="1"/>
      <c r="G27" s="1"/>
      <c r="H27" s="1"/>
      <c r="I27" s="1"/>
      <c r="J27" s="1"/>
      <c r="K27" s="1"/>
      <c r="L27" s="3"/>
      <c r="M27" s="3"/>
      <c r="N27" s="1"/>
    </row>
    <row r="28" spans="1:14" x14ac:dyDescent="0.2">
      <c r="A28" s="1"/>
      <c r="B28" s="1"/>
      <c r="C28" s="1"/>
      <c r="D28" s="1"/>
      <c r="E28" s="1"/>
      <c r="F28" s="1"/>
      <c r="G28" s="1"/>
      <c r="H28" s="1"/>
      <c r="I28" s="1"/>
      <c r="J28" s="1"/>
      <c r="K28" s="1"/>
      <c r="L28" s="3"/>
      <c r="M28" s="3"/>
      <c r="N28" s="1"/>
    </row>
    <row r="29" spans="1:14" ht="25.5" x14ac:dyDescent="0.2">
      <c r="A29" s="26" t="s">
        <v>999</v>
      </c>
      <c r="B29" s="22" t="s">
        <v>2144</v>
      </c>
      <c r="C29" s="24" t="s">
        <v>995</v>
      </c>
      <c r="D29" s="37" t="str">
        <f>J29</f>
        <v/>
      </c>
      <c r="E29" s="1"/>
      <c r="F29" s="1"/>
      <c r="G29" s="1"/>
      <c r="H29" s="1"/>
      <c r="I29" s="1"/>
      <c r="J29" s="5" t="str">
        <f>IF(C29="x","FOUT","")</f>
        <v/>
      </c>
      <c r="K29" s="5">
        <f>ABS(IF(J29="JUIST","1","0"))</f>
        <v>0</v>
      </c>
      <c r="L29" s="3" t="s">
        <v>995</v>
      </c>
      <c r="M29" s="3"/>
      <c r="N29" s="1"/>
    </row>
    <row r="30" spans="1:14" ht="27.6" customHeight="1" x14ac:dyDescent="0.2">
      <c r="A30" s="26" t="s">
        <v>1000</v>
      </c>
      <c r="B30" s="548" t="s">
        <v>2150</v>
      </c>
      <c r="C30" s="24" t="s">
        <v>995</v>
      </c>
      <c r="D30" s="37" t="str">
        <f>J30</f>
        <v/>
      </c>
      <c r="E30" s="1"/>
      <c r="F30" s="1"/>
      <c r="G30" s="1"/>
      <c r="H30" s="1"/>
      <c r="I30" s="1"/>
      <c r="J30" s="5" t="str">
        <f>IF(C30="x","FOUT","")</f>
        <v/>
      </c>
      <c r="K30" s="5">
        <f>ABS(IF(J30="JUIST","1","0"))</f>
        <v>0</v>
      </c>
      <c r="L30" s="3" t="s">
        <v>995</v>
      </c>
      <c r="M30" s="3"/>
      <c r="N30" s="1"/>
    </row>
    <row r="31" spans="1:14" ht="25.5" x14ac:dyDescent="0.2">
      <c r="A31" s="26" t="s">
        <v>1001</v>
      </c>
      <c r="B31" s="22" t="s">
        <v>21</v>
      </c>
      <c r="C31" s="24" t="s">
        <v>995</v>
      </c>
      <c r="D31" s="37" t="str">
        <f>J31</f>
        <v/>
      </c>
      <c r="E31" s="1"/>
      <c r="F31" s="1"/>
      <c r="G31" s="1"/>
      <c r="H31" s="1"/>
      <c r="I31" s="1"/>
      <c r="J31" s="5" t="str">
        <f>IF(C31="x","JUIST","")</f>
        <v/>
      </c>
      <c r="K31" s="5">
        <f>ABS(IF(J31="JUIST","1","0"))</f>
        <v>0</v>
      </c>
      <c r="L31" s="3">
        <v>1</v>
      </c>
      <c r="M31" s="3"/>
      <c r="N31" s="1"/>
    </row>
    <row r="32" spans="1:14" ht="25.5" x14ac:dyDescent="0.2">
      <c r="A32" s="26" t="s">
        <v>1002</v>
      </c>
      <c r="B32" s="22" t="s">
        <v>22</v>
      </c>
      <c r="C32" s="24" t="s">
        <v>995</v>
      </c>
      <c r="D32" s="37" t="str">
        <f>J32</f>
        <v/>
      </c>
      <c r="E32" s="1"/>
      <c r="F32" s="1"/>
      <c r="G32" s="1"/>
      <c r="H32" s="1"/>
      <c r="I32" s="1"/>
      <c r="J32" s="5" t="str">
        <f>IF(C32="x","FOUT","")</f>
        <v/>
      </c>
      <c r="K32" s="5">
        <f>ABS(IF(J32="JUIST","1","0"))</f>
        <v>0</v>
      </c>
      <c r="L32" s="3"/>
      <c r="M32" s="3"/>
      <c r="N32" s="1"/>
    </row>
    <row r="33" spans="1:14" x14ac:dyDescent="0.2">
      <c r="A33" s="1"/>
      <c r="B33" s="1"/>
      <c r="C33" s="1"/>
      <c r="D33" s="1"/>
      <c r="E33" s="1"/>
      <c r="F33" s="1"/>
      <c r="G33" s="1"/>
      <c r="H33" s="1"/>
      <c r="I33" s="1"/>
      <c r="J33" s="1"/>
      <c r="K33" s="1"/>
      <c r="L33" s="3"/>
      <c r="M33" s="3"/>
      <c r="N33" s="1"/>
    </row>
    <row r="34" spans="1:14" x14ac:dyDescent="0.2">
      <c r="A34" s="1"/>
      <c r="B34" s="82" t="s">
        <v>1033</v>
      </c>
      <c r="C34" s="318" t="s">
        <v>995</v>
      </c>
      <c r="D34" s="1"/>
      <c r="E34" s="1"/>
      <c r="F34" s="1"/>
      <c r="G34" s="1"/>
      <c r="H34" s="1"/>
      <c r="I34" s="1"/>
      <c r="J34" s="1"/>
      <c r="K34" s="1"/>
      <c r="L34" s="3"/>
      <c r="M34" s="3"/>
      <c r="N34" s="1"/>
    </row>
    <row r="35" spans="1:14" x14ac:dyDescent="0.2">
      <c r="A35" s="1"/>
      <c r="B35" s="52" t="str">
        <f>J35</f>
        <v/>
      </c>
      <c r="C35" s="1"/>
      <c r="D35" s="1"/>
      <c r="E35" s="1"/>
      <c r="F35" s="1"/>
      <c r="G35" s="1"/>
      <c r="H35" s="1"/>
      <c r="I35" s="1"/>
      <c r="J35" s="73" t="str">
        <f>IF(C34="x","Het juiste antwoord is: C","")</f>
        <v/>
      </c>
      <c r="K35" s="1"/>
      <c r="L35" s="3"/>
      <c r="M35" s="3"/>
      <c r="N35" s="1"/>
    </row>
    <row r="36" spans="1:14" x14ac:dyDescent="0.2">
      <c r="A36" s="1"/>
      <c r="B36" s="1"/>
      <c r="C36" s="1"/>
      <c r="D36" s="1"/>
      <c r="E36" s="1"/>
      <c r="F36" s="1"/>
      <c r="G36" s="1"/>
      <c r="H36" s="1"/>
      <c r="I36" s="1"/>
      <c r="J36" s="1"/>
      <c r="K36" s="1"/>
      <c r="L36" s="3"/>
      <c r="M36" s="3"/>
      <c r="N36" s="1"/>
    </row>
    <row r="37" spans="1:14" x14ac:dyDescent="0.2">
      <c r="A37" s="14"/>
      <c r="B37" s="14"/>
      <c r="C37" s="14"/>
      <c r="D37" s="14"/>
      <c r="E37" s="14"/>
      <c r="F37" s="14"/>
      <c r="G37" s="14"/>
      <c r="H37" s="14"/>
      <c r="I37" s="14"/>
      <c r="J37" s="1"/>
      <c r="K37" s="1"/>
      <c r="L37" s="3"/>
      <c r="M37" s="3"/>
      <c r="N37" s="1"/>
    </row>
    <row r="38" spans="1:14" x14ac:dyDescent="0.2">
      <c r="A38" s="1"/>
      <c r="B38" s="1"/>
      <c r="C38" s="1"/>
      <c r="D38" s="1"/>
      <c r="E38" s="1"/>
      <c r="F38" s="1"/>
      <c r="G38" s="1"/>
      <c r="H38" s="1"/>
      <c r="I38" s="1"/>
      <c r="J38" s="1"/>
      <c r="K38" s="1"/>
      <c r="L38" s="3"/>
      <c r="M38" s="3"/>
      <c r="N38" s="1"/>
    </row>
    <row r="39" spans="1:14" ht="39" thickBot="1" x14ac:dyDescent="0.25">
      <c r="A39" s="25" t="s">
        <v>1034</v>
      </c>
      <c r="B39" s="200" t="s">
        <v>2668</v>
      </c>
      <c r="C39" s="1"/>
      <c r="D39" s="57" t="s">
        <v>681</v>
      </c>
      <c r="E39" s="57" t="s">
        <v>682</v>
      </c>
      <c r="F39" s="1"/>
      <c r="G39" s="1"/>
      <c r="H39" s="1"/>
      <c r="I39" s="1"/>
      <c r="J39" s="1"/>
      <c r="K39" s="1"/>
      <c r="L39" s="3"/>
      <c r="M39" s="3"/>
      <c r="N39" s="1"/>
    </row>
    <row r="40" spans="1:14" ht="13.5" thickTop="1" x14ac:dyDescent="0.2">
      <c r="A40" s="1"/>
      <c r="B40" s="106" t="s">
        <v>680</v>
      </c>
      <c r="C40" s="1"/>
      <c r="D40" s="56" t="s">
        <v>995</v>
      </c>
      <c r="E40" s="56" t="s">
        <v>995</v>
      </c>
      <c r="F40" s="1"/>
      <c r="G40" s="1"/>
      <c r="H40" s="1"/>
      <c r="I40" s="1"/>
      <c r="J40" s="5" t="str">
        <f>IF(D40="x","FOUT","")</f>
        <v/>
      </c>
      <c r="K40" s="5">
        <f>ABS(IF(J40="JUIST","1","0"))</f>
        <v>0</v>
      </c>
      <c r="L40" s="3"/>
      <c r="M40" s="3"/>
      <c r="N40" s="1"/>
    </row>
    <row r="41" spans="1:14" x14ac:dyDescent="0.2">
      <c r="A41" s="1"/>
      <c r="B41" s="81" t="s">
        <v>895</v>
      </c>
      <c r="C41" s="1"/>
      <c r="D41" s="3" t="str">
        <f>J40</f>
        <v/>
      </c>
      <c r="E41" s="3" t="str">
        <f>J41</f>
        <v/>
      </c>
      <c r="F41" s="1"/>
      <c r="G41" s="1"/>
      <c r="H41" s="1"/>
      <c r="I41" s="1"/>
      <c r="J41" s="5" t="str">
        <f>IF(E40="x","JUIST","")</f>
        <v/>
      </c>
      <c r="K41" s="5">
        <f>ABS(IF(J41="JUIST","1","0"))</f>
        <v>0</v>
      </c>
      <c r="L41" s="3">
        <v>1</v>
      </c>
      <c r="M41" s="3"/>
      <c r="N41" s="1"/>
    </row>
    <row r="42" spans="1:14" x14ac:dyDescent="0.2">
      <c r="A42" s="1"/>
      <c r="C42" s="1"/>
      <c r="D42" s="1"/>
      <c r="E42" s="1"/>
      <c r="F42" s="1"/>
      <c r="G42" s="1"/>
      <c r="H42" s="1"/>
      <c r="I42" s="1"/>
      <c r="K42" s="1"/>
      <c r="L42" s="3"/>
      <c r="M42" s="3"/>
      <c r="N42" s="1"/>
    </row>
    <row r="43" spans="1:14" x14ac:dyDescent="0.2">
      <c r="A43" s="1"/>
      <c r="B43" s="82" t="s">
        <v>1033</v>
      </c>
      <c r="C43" s="318" t="s">
        <v>995</v>
      </c>
      <c r="D43" s="1"/>
      <c r="E43" s="1"/>
      <c r="F43" s="1"/>
      <c r="G43" s="1"/>
      <c r="H43" s="1"/>
      <c r="I43" s="1"/>
      <c r="J43" s="1"/>
      <c r="K43" s="1"/>
      <c r="L43" s="3"/>
      <c r="M43" s="3"/>
      <c r="N43" s="1"/>
    </row>
    <row r="44" spans="1:14" x14ac:dyDescent="0.2">
      <c r="A44" s="1"/>
      <c r="B44" s="52" t="str">
        <f>J44</f>
        <v/>
      </c>
      <c r="C44" s="1"/>
      <c r="D44" s="1"/>
      <c r="E44" s="1"/>
      <c r="F44" s="1"/>
      <c r="G44" s="1"/>
      <c r="H44" s="1"/>
      <c r="I44" s="1"/>
      <c r="J44" s="73" t="str">
        <f>IF(C43="x","Het juiste antwoord is: Nee, het is precies andersom!!!!!","")</f>
        <v/>
      </c>
      <c r="K44" s="1"/>
      <c r="L44" s="3"/>
      <c r="M44" s="3"/>
      <c r="N44" s="1"/>
    </row>
    <row r="45" spans="1:14" x14ac:dyDescent="0.2">
      <c r="A45" s="1"/>
      <c r="B45" s="1"/>
      <c r="C45" s="1"/>
      <c r="D45" s="1"/>
      <c r="E45" s="1"/>
      <c r="F45" s="1"/>
      <c r="G45" s="1"/>
      <c r="H45" s="1"/>
      <c r="I45" s="1"/>
      <c r="J45" s="1"/>
      <c r="K45" s="1"/>
      <c r="L45" s="3"/>
      <c r="M45" s="3"/>
      <c r="N45" s="1"/>
    </row>
    <row r="46" spans="1:14" x14ac:dyDescent="0.2">
      <c r="A46" s="14"/>
      <c r="B46" s="14"/>
      <c r="C46" s="14"/>
      <c r="D46" s="14"/>
      <c r="E46" s="14"/>
      <c r="F46" s="14"/>
      <c r="G46" s="14"/>
      <c r="H46" s="14"/>
      <c r="I46" s="14"/>
      <c r="J46" s="1"/>
      <c r="K46" s="1"/>
      <c r="L46" s="3"/>
      <c r="M46" s="3"/>
      <c r="N46" s="1"/>
    </row>
    <row r="47" spans="1:14" x14ac:dyDescent="0.2">
      <c r="A47" s="1"/>
      <c r="B47" s="1"/>
      <c r="C47" s="1"/>
      <c r="D47" s="1"/>
      <c r="E47" s="1"/>
      <c r="F47" s="1"/>
      <c r="G47" s="1"/>
      <c r="H47" s="1"/>
      <c r="I47" s="1"/>
      <c r="J47" s="1"/>
      <c r="K47" s="1"/>
      <c r="L47" s="3"/>
      <c r="M47" s="3"/>
      <c r="N47" s="1"/>
    </row>
    <row r="48" spans="1:14" ht="39" thickBot="1" x14ac:dyDescent="0.25">
      <c r="A48" s="25" t="s">
        <v>1038</v>
      </c>
      <c r="B48" s="103" t="s">
        <v>2145</v>
      </c>
      <c r="C48" s="102" t="s">
        <v>446</v>
      </c>
      <c r="D48" s="102" t="s">
        <v>1623</v>
      </c>
      <c r="E48" s="526" t="s">
        <v>2119</v>
      </c>
      <c r="F48" s="527" t="s">
        <v>2120</v>
      </c>
      <c r="G48" s="1"/>
      <c r="H48" s="1"/>
      <c r="I48" s="1"/>
      <c r="J48" s="1"/>
      <c r="K48" s="1"/>
      <c r="L48" s="3"/>
      <c r="M48" s="3"/>
      <c r="N48" s="1"/>
    </row>
    <row r="49" spans="1:14" ht="13.5" thickTop="1" x14ac:dyDescent="0.2">
      <c r="A49" s="1"/>
      <c r="B49" s="103" t="s">
        <v>2146</v>
      </c>
      <c r="C49" s="56" t="s">
        <v>995</v>
      </c>
      <c r="D49" s="56" t="s">
        <v>995</v>
      </c>
      <c r="E49" s="56" t="s">
        <v>995</v>
      </c>
      <c r="F49" s="56" t="s">
        <v>995</v>
      </c>
      <c r="G49" s="1"/>
      <c r="H49" s="1"/>
      <c r="I49" s="1"/>
      <c r="J49" s="5" t="str">
        <f>IF(C49="x","FOUT","")</f>
        <v/>
      </c>
      <c r="K49" s="5">
        <f>ABS(IF(J49="JUIST","1","0"))</f>
        <v>0</v>
      </c>
      <c r="L49" s="3"/>
      <c r="M49" s="3"/>
      <c r="N49" s="1"/>
    </row>
    <row r="50" spans="1:14" x14ac:dyDescent="0.2">
      <c r="A50" s="1"/>
      <c r="B50" s="2" t="s">
        <v>2147</v>
      </c>
      <c r="C50" s="3" t="s">
        <v>475</v>
      </c>
      <c r="D50" s="3" t="s">
        <v>476</v>
      </c>
      <c r="E50" s="3" t="s">
        <v>477</v>
      </c>
      <c r="F50" s="3" t="s">
        <v>478</v>
      </c>
      <c r="G50" s="1"/>
      <c r="H50" s="1"/>
      <c r="I50" s="1"/>
      <c r="J50" s="5" t="str">
        <f>IF(D49="x","FOUT","")</f>
        <v/>
      </c>
      <c r="K50" s="5">
        <f>ABS(IF(J50="JUIST","1","0"))</f>
        <v>0</v>
      </c>
      <c r="L50" s="3"/>
      <c r="M50" s="3"/>
      <c r="N50" s="1"/>
    </row>
    <row r="51" spans="1:14" x14ac:dyDescent="0.2">
      <c r="A51" s="1"/>
      <c r="B51" s="80" t="s">
        <v>333</v>
      </c>
      <c r="C51" s="1"/>
      <c r="D51" s="1"/>
      <c r="E51" s="1"/>
      <c r="F51" s="1"/>
      <c r="G51" s="1"/>
      <c r="H51" s="1"/>
      <c r="I51" s="1"/>
      <c r="J51" s="5" t="str">
        <f>IF(E49="x","JUIST","")</f>
        <v/>
      </c>
      <c r="K51" s="5">
        <f>ABS(IF(J51="JUIST","1","0"))</f>
        <v>0</v>
      </c>
      <c r="L51" s="3">
        <v>1</v>
      </c>
      <c r="M51" s="3"/>
      <c r="N51" s="1"/>
    </row>
    <row r="52" spans="1:14" x14ac:dyDescent="0.2">
      <c r="A52" s="1"/>
      <c r="B52" s="81" t="s">
        <v>895</v>
      </c>
      <c r="C52" s="1"/>
      <c r="D52" s="1"/>
      <c r="E52" s="1"/>
      <c r="F52" s="1"/>
      <c r="G52" s="1"/>
      <c r="H52" s="1"/>
      <c r="I52" s="1"/>
      <c r="J52" s="5" t="str">
        <f>IF(F49="x","FOUT","")</f>
        <v/>
      </c>
      <c r="K52" s="5">
        <f>ABS(IF(J52="JUIST","1","0"))</f>
        <v>0</v>
      </c>
      <c r="L52" s="3" t="s">
        <v>995</v>
      </c>
      <c r="M52" s="3"/>
      <c r="N52" s="1"/>
    </row>
    <row r="53" spans="1:14" x14ac:dyDescent="0.2">
      <c r="A53" s="1"/>
      <c r="B53" s="1"/>
      <c r="C53" s="1"/>
      <c r="D53" s="1"/>
      <c r="E53" s="1"/>
      <c r="F53" s="1"/>
      <c r="G53" s="1"/>
      <c r="H53" s="1"/>
      <c r="I53" s="1"/>
      <c r="J53" s="48" t="s">
        <v>995</v>
      </c>
      <c r="K53" s="1"/>
      <c r="L53" s="3"/>
      <c r="M53" s="3"/>
      <c r="N53" s="1"/>
    </row>
    <row r="54" spans="1:14" x14ac:dyDescent="0.2">
      <c r="A54" s="1"/>
      <c r="B54" s="82" t="s">
        <v>1033</v>
      </c>
      <c r="C54" s="318" t="s">
        <v>995</v>
      </c>
      <c r="D54" s="1"/>
      <c r="E54" s="1"/>
      <c r="F54" s="1"/>
      <c r="G54" s="1"/>
      <c r="H54" s="1"/>
      <c r="I54" s="1"/>
      <c r="J54" s="1"/>
      <c r="K54" s="1"/>
      <c r="L54" s="3"/>
      <c r="M54" s="3"/>
      <c r="N54" s="1"/>
    </row>
    <row r="55" spans="1:14" x14ac:dyDescent="0.2">
      <c r="A55" s="1"/>
      <c r="B55" s="52" t="str">
        <f>J55</f>
        <v/>
      </c>
      <c r="C55" s="1"/>
      <c r="D55" s="1"/>
      <c r="E55" s="1"/>
      <c r="F55" s="1"/>
      <c r="G55" s="1"/>
      <c r="H55" s="1"/>
      <c r="I55" s="1"/>
      <c r="J55" s="73" t="str">
        <f>IF(C54="x","Het juiste antwoord is: C","")</f>
        <v/>
      </c>
      <c r="K55" s="1"/>
      <c r="L55" s="3"/>
      <c r="M55" s="3"/>
      <c r="N55" s="1"/>
    </row>
    <row r="56" spans="1:14" x14ac:dyDescent="0.2">
      <c r="A56" s="1"/>
      <c r="B56" s="1"/>
      <c r="C56" s="1"/>
      <c r="D56" s="1"/>
      <c r="E56" s="1"/>
      <c r="F56" s="1"/>
      <c r="G56" s="1"/>
      <c r="H56" s="1"/>
      <c r="I56" s="1"/>
      <c r="J56" s="1"/>
      <c r="K56" s="1"/>
      <c r="L56" s="3"/>
      <c r="M56" s="3"/>
      <c r="N56" s="1"/>
    </row>
    <row r="57" spans="1:14" x14ac:dyDescent="0.2">
      <c r="A57" s="14"/>
      <c r="B57" s="14"/>
      <c r="C57" s="14"/>
      <c r="D57" s="14"/>
      <c r="E57" s="14"/>
      <c r="F57" s="14"/>
      <c r="G57" s="14"/>
      <c r="H57" s="14"/>
      <c r="I57" s="14"/>
      <c r="J57" s="1"/>
      <c r="K57" s="1"/>
      <c r="L57" s="3"/>
      <c r="M57" s="3"/>
      <c r="N57" s="1"/>
    </row>
    <row r="58" spans="1:14" x14ac:dyDescent="0.2">
      <c r="A58" s="1"/>
      <c r="B58" s="1"/>
      <c r="C58" s="1"/>
      <c r="D58" s="1"/>
      <c r="E58" s="1"/>
      <c r="F58" s="1"/>
      <c r="G58" s="1"/>
      <c r="H58" s="1"/>
      <c r="I58" s="1"/>
      <c r="J58" s="5" t="e">
        <f>SEARCH("niet",B68)</f>
        <v>#VALUE!</v>
      </c>
      <c r="K58" s="1"/>
      <c r="L58" s="3"/>
      <c r="M58" s="3"/>
      <c r="N58" s="1"/>
    </row>
    <row r="59" spans="1:14" ht="25.5" x14ac:dyDescent="0.2">
      <c r="A59" s="25" t="s">
        <v>860</v>
      </c>
      <c r="B59" s="2" t="s">
        <v>2148</v>
      </c>
      <c r="C59" s="1"/>
      <c r="D59" s="1"/>
      <c r="E59" s="1"/>
      <c r="F59" s="1"/>
      <c r="G59" s="1"/>
      <c r="H59" s="1"/>
      <c r="I59" s="1"/>
      <c r="J59" s="5">
        <f>ABS(ISERR(J58))</f>
        <v>1</v>
      </c>
      <c r="K59" s="5">
        <f>ABS(IF(J59=0,"1","0"))</f>
        <v>0</v>
      </c>
      <c r="L59" s="3">
        <v>1</v>
      </c>
      <c r="M59" s="3"/>
      <c r="N59" s="1"/>
    </row>
    <row r="60" spans="1:14" x14ac:dyDescent="0.2">
      <c r="A60" s="1"/>
      <c r="B60" s="2"/>
      <c r="C60" s="1"/>
      <c r="D60" s="1"/>
      <c r="E60" s="1"/>
      <c r="F60" s="1"/>
      <c r="G60" s="1"/>
      <c r="H60" s="1"/>
      <c r="I60" s="1"/>
      <c r="J60" s="5" t="e">
        <f>SEARCH("geen",B68)</f>
        <v>#VALUE!</v>
      </c>
      <c r="K60" s="1"/>
      <c r="L60" s="3"/>
      <c r="M60" s="3"/>
      <c r="N60" s="1"/>
    </row>
    <row r="61" spans="1:14" x14ac:dyDescent="0.2">
      <c r="A61" s="1"/>
      <c r="B61" s="1" t="s">
        <v>588</v>
      </c>
      <c r="C61" s="1"/>
      <c r="D61" s="1"/>
      <c r="E61" s="1"/>
      <c r="F61" s="1"/>
      <c r="G61" s="1"/>
      <c r="H61" s="1"/>
      <c r="I61" s="1"/>
      <c r="J61" s="5">
        <f>ABS(ISERR(J60))</f>
        <v>1</v>
      </c>
      <c r="K61" s="5">
        <f>ABS(IF(J61=0,"1","0"))</f>
        <v>0</v>
      </c>
      <c r="L61" s="3"/>
      <c r="M61" s="3"/>
      <c r="N61" s="1"/>
    </row>
    <row r="62" spans="1:14" x14ac:dyDescent="0.2">
      <c r="A62" s="1"/>
      <c r="B62" s="1" t="s">
        <v>589</v>
      </c>
      <c r="C62" s="1"/>
      <c r="D62" s="1"/>
      <c r="E62" s="1"/>
      <c r="F62" s="1"/>
      <c r="G62" s="1"/>
      <c r="H62" s="1"/>
      <c r="I62" s="1"/>
      <c r="J62" s="5" t="e">
        <f>SEARCH("dom",B68)</f>
        <v>#VALUE!</v>
      </c>
      <c r="K62" s="1"/>
      <c r="L62" s="3"/>
      <c r="M62" s="3"/>
      <c r="N62" s="1"/>
    </row>
    <row r="63" spans="1:14" x14ac:dyDescent="0.2">
      <c r="A63" s="1"/>
      <c r="B63" s="1" t="s">
        <v>590</v>
      </c>
      <c r="C63" s="1"/>
      <c r="D63" s="1"/>
      <c r="E63" s="1"/>
      <c r="F63" s="1"/>
      <c r="G63" s="1"/>
      <c r="H63" s="1"/>
      <c r="I63" s="1"/>
      <c r="J63" s="5">
        <f>ABS(ISERR(J62))</f>
        <v>1</v>
      </c>
      <c r="K63" s="5">
        <f>ABS(IF(J63=0,"1","0"))</f>
        <v>0</v>
      </c>
      <c r="L63" s="3"/>
      <c r="M63" s="3"/>
      <c r="N63" s="1"/>
    </row>
    <row r="64" spans="1:14" x14ac:dyDescent="0.2">
      <c r="A64" s="1"/>
      <c r="B64" s="1" t="s">
        <v>604</v>
      </c>
      <c r="C64" s="1"/>
      <c r="D64" s="1"/>
      <c r="E64" s="1"/>
      <c r="F64" s="1"/>
      <c r="G64" s="1"/>
      <c r="H64" s="1"/>
      <c r="I64" s="1"/>
      <c r="J64" s="5" t="e">
        <f>SEARCH("verkeerd",B68)</f>
        <v>#VALUE!</v>
      </c>
      <c r="K64" s="1"/>
      <c r="L64" s="3"/>
      <c r="M64" s="3"/>
      <c r="N64" s="1"/>
    </row>
    <row r="65" spans="1:14" x14ac:dyDescent="0.2">
      <c r="A65" s="1"/>
      <c r="B65" s="1" t="s">
        <v>591</v>
      </c>
      <c r="C65" s="1"/>
      <c r="D65" s="1"/>
      <c r="E65" s="1"/>
      <c r="F65" s="1"/>
      <c r="G65" s="1"/>
      <c r="H65" s="1"/>
      <c r="I65" s="1"/>
      <c r="J65" s="5">
        <f>ABS(ISERR(J64))</f>
        <v>1</v>
      </c>
      <c r="K65" s="5">
        <f>ABS(IF(J65=0,"1","0"))</f>
        <v>0</v>
      </c>
      <c r="L65" s="3"/>
      <c r="M65" s="3"/>
      <c r="N65" s="1"/>
    </row>
    <row r="66" spans="1:14" x14ac:dyDescent="0.2">
      <c r="A66" s="1"/>
      <c r="B66" s="81" t="s">
        <v>608</v>
      </c>
      <c r="C66" s="1"/>
      <c r="D66" s="1"/>
      <c r="E66" s="1"/>
      <c r="F66" s="1"/>
      <c r="G66" s="1"/>
      <c r="H66" s="1"/>
      <c r="I66" s="1"/>
      <c r="J66" s="1"/>
      <c r="K66" s="1"/>
      <c r="L66" s="3"/>
      <c r="M66" s="3"/>
      <c r="N66" s="1"/>
    </row>
    <row r="67" spans="1:14" ht="13.35" customHeight="1" x14ac:dyDescent="0.2">
      <c r="A67" s="1"/>
      <c r="B67" s="1"/>
      <c r="C67" s="1"/>
      <c r="D67" s="1"/>
      <c r="E67" s="1"/>
      <c r="F67" s="1"/>
      <c r="G67" s="1"/>
      <c r="H67" s="1"/>
      <c r="I67" s="1"/>
      <c r="J67" s="1"/>
      <c r="K67" s="1"/>
      <c r="L67" s="3"/>
      <c r="M67" s="3"/>
      <c r="N67" s="1"/>
    </row>
    <row r="68" spans="1:14" ht="48.6" customHeight="1" x14ac:dyDescent="0.2">
      <c r="A68" s="1"/>
      <c r="B68" s="107" t="s">
        <v>995</v>
      </c>
      <c r="C68" s="37" t="str">
        <f>IF(J68="JUIST","JUIST","")</f>
        <v/>
      </c>
      <c r="D68" s="1"/>
      <c r="E68" s="1"/>
      <c r="F68" s="1"/>
      <c r="G68" s="1"/>
      <c r="H68" s="1"/>
      <c r="I68" s="1"/>
      <c r="J68" s="5" t="str">
        <f>IF(SUM(K59:K65)=1,"JUIST","")</f>
        <v/>
      </c>
      <c r="K68" s="1"/>
      <c r="L68" s="3"/>
      <c r="M68" s="3"/>
      <c r="N68" s="1"/>
    </row>
    <row r="69" spans="1:14" ht="14.45" customHeight="1" x14ac:dyDescent="0.2">
      <c r="A69" s="1"/>
      <c r="B69" s="1"/>
      <c r="C69" s="37"/>
      <c r="D69" s="1"/>
      <c r="E69" s="1"/>
      <c r="F69" s="1"/>
      <c r="G69" s="1"/>
      <c r="H69" s="1"/>
      <c r="I69" s="1"/>
      <c r="J69" s="18"/>
      <c r="K69" s="1"/>
      <c r="L69" s="3"/>
      <c r="M69" s="3"/>
      <c r="N69" s="1"/>
    </row>
    <row r="70" spans="1:14" ht="17.45" customHeight="1" x14ac:dyDescent="0.2">
      <c r="A70" s="1"/>
      <c r="B70" s="82" t="s">
        <v>1033</v>
      </c>
      <c r="C70" s="10" t="s">
        <v>995</v>
      </c>
      <c r="D70" s="1"/>
      <c r="E70" s="1"/>
      <c r="F70" s="1"/>
      <c r="G70" s="1"/>
      <c r="H70" s="1"/>
      <c r="I70" s="1"/>
      <c r="J70" s="18"/>
      <c r="K70" s="1"/>
      <c r="L70" s="3"/>
      <c r="M70" s="3"/>
      <c r="N70" s="1"/>
    </row>
    <row r="71" spans="1:14" ht="56.45" customHeight="1" x14ac:dyDescent="0.2">
      <c r="A71" s="1"/>
      <c r="B71" s="2" t="str">
        <f>J71</f>
        <v/>
      </c>
      <c r="C71" s="37"/>
      <c r="D71" s="1"/>
      <c r="E71" s="1"/>
      <c r="F71" s="1"/>
      <c r="G71" s="1"/>
      <c r="H71" s="1"/>
      <c r="I71" s="1"/>
      <c r="J71" s="18" t="str">
        <f>IF(C70="x","Het is GEEN geschikt personeelsdoel. Immers: enerzijds bezig zijn teamwork en 'wij-gevoel' te verbeteren, terwijl sommigen in het kader van de reorganisatie mogelijk op andere afdelingen zullen gaan werken? Da's dom!","")</f>
        <v/>
      </c>
      <c r="K71" s="1"/>
      <c r="L71" s="3"/>
      <c r="M71" s="3"/>
      <c r="N71" s="1"/>
    </row>
    <row r="72" spans="1:14" x14ac:dyDescent="0.2">
      <c r="A72" s="1"/>
      <c r="B72" s="1"/>
      <c r="C72" s="1"/>
      <c r="D72" s="1"/>
      <c r="E72" s="1"/>
      <c r="F72" s="1"/>
      <c r="G72" s="1"/>
      <c r="H72" s="1"/>
      <c r="I72" s="1"/>
      <c r="K72" s="1"/>
      <c r="L72" s="3"/>
      <c r="M72" s="3"/>
      <c r="N72" s="1"/>
    </row>
    <row r="73" spans="1:14" x14ac:dyDescent="0.2">
      <c r="A73" s="14"/>
      <c r="B73" s="14"/>
      <c r="C73" s="14"/>
      <c r="D73" s="14"/>
      <c r="E73" s="14"/>
      <c r="F73" s="14"/>
      <c r="G73" s="14"/>
      <c r="H73" s="14"/>
      <c r="I73" s="14"/>
      <c r="J73" s="1"/>
      <c r="K73" s="1"/>
      <c r="L73" s="3"/>
      <c r="M73" s="3"/>
      <c r="N73" s="1"/>
    </row>
    <row r="74" spans="1:14" x14ac:dyDescent="0.2">
      <c r="A74" s="1"/>
      <c r="B74" s="1"/>
      <c r="C74" s="1"/>
      <c r="D74" s="1"/>
      <c r="E74" s="1"/>
      <c r="F74" s="1"/>
      <c r="G74" s="1"/>
      <c r="H74" s="1"/>
      <c r="I74" s="1"/>
      <c r="J74" s="5" t="e">
        <f>SEARCH("niet",B91)</f>
        <v>#VALUE!</v>
      </c>
      <c r="K74" s="1"/>
      <c r="L74" s="3"/>
      <c r="M74" s="3"/>
      <c r="N74" s="1"/>
    </row>
    <row r="75" spans="1:14" x14ac:dyDescent="0.2">
      <c r="A75" s="1" t="s">
        <v>861</v>
      </c>
      <c r="B75" s="1" t="s">
        <v>592</v>
      </c>
      <c r="C75" s="1"/>
      <c r="D75" s="1"/>
      <c r="E75" s="1"/>
      <c r="F75" s="1"/>
      <c r="G75" s="1"/>
      <c r="H75" s="1"/>
      <c r="I75" s="1"/>
      <c r="J75" s="5">
        <f>ABS(ISERR(J74))</f>
        <v>1</v>
      </c>
      <c r="K75" s="5">
        <f>ABS(IF(J75=0,"1","0"))</f>
        <v>0</v>
      </c>
      <c r="L75" s="3">
        <v>1</v>
      </c>
      <c r="M75" s="3"/>
      <c r="N75" s="1"/>
    </row>
    <row r="76" spans="1:14" x14ac:dyDescent="0.2">
      <c r="A76" s="1"/>
      <c r="B76" s="1" t="s">
        <v>2149</v>
      </c>
      <c r="C76" s="1"/>
      <c r="D76" s="1"/>
      <c r="E76" s="1"/>
      <c r="F76" s="1"/>
      <c r="G76" s="1"/>
      <c r="H76" s="1"/>
      <c r="I76" s="1"/>
      <c r="J76" s="5" t="e">
        <f>SEARCH("geen",B91)</f>
        <v>#VALUE!</v>
      </c>
      <c r="K76" s="1"/>
      <c r="L76" s="3"/>
      <c r="M76" s="3"/>
      <c r="N76" s="1"/>
    </row>
    <row r="77" spans="1:14" x14ac:dyDescent="0.2">
      <c r="A77" s="1"/>
      <c r="B77" s="1" t="s">
        <v>593</v>
      </c>
      <c r="C77" s="1"/>
      <c r="D77" s="1"/>
      <c r="E77" s="1"/>
      <c r="F77" s="1"/>
      <c r="G77" s="1"/>
      <c r="H77" s="1"/>
      <c r="I77" s="1"/>
      <c r="J77" s="5">
        <f>ABS(ISERR(J76))</f>
        <v>1</v>
      </c>
      <c r="K77" s="5">
        <f>ABS(IF(J77=0,"1","0"))</f>
        <v>0</v>
      </c>
      <c r="L77" s="3"/>
      <c r="M77" s="3"/>
      <c r="N77" s="1"/>
    </row>
    <row r="78" spans="1:14" x14ac:dyDescent="0.2">
      <c r="A78" s="1"/>
      <c r="B78" s="67" t="s">
        <v>2669</v>
      </c>
      <c r="C78" s="1"/>
      <c r="D78" s="1"/>
      <c r="E78" s="1"/>
      <c r="F78" s="1"/>
      <c r="G78" s="1"/>
      <c r="H78" s="1"/>
      <c r="I78" s="1"/>
      <c r="J78" s="5" t="e">
        <f>SEARCH("dom",B91)</f>
        <v>#VALUE!</v>
      </c>
      <c r="K78" s="1"/>
      <c r="L78" s="3"/>
      <c r="M78" s="3"/>
      <c r="N78" s="1"/>
    </row>
    <row r="79" spans="1:14" x14ac:dyDescent="0.2">
      <c r="A79" s="1"/>
      <c r="B79" s="67" t="s">
        <v>2670</v>
      </c>
      <c r="C79" s="1"/>
      <c r="D79" s="1"/>
      <c r="E79" s="1"/>
      <c r="F79" s="1"/>
      <c r="G79" s="1"/>
      <c r="H79" s="1"/>
      <c r="I79" s="1"/>
      <c r="J79" s="5">
        <f>ABS(ISERR(J78))</f>
        <v>1</v>
      </c>
      <c r="K79" s="5">
        <f>ABS(IF(J79=0,"1","0"))</f>
        <v>0</v>
      </c>
      <c r="L79" s="3"/>
      <c r="M79" s="3"/>
      <c r="N79" s="1"/>
    </row>
    <row r="80" spans="1:14" x14ac:dyDescent="0.2">
      <c r="A80" s="1"/>
      <c r="B80" s="1" t="s">
        <v>594</v>
      </c>
      <c r="C80" s="1"/>
      <c r="D80" s="1"/>
      <c r="E80" s="1"/>
      <c r="F80" s="1"/>
      <c r="G80" s="1"/>
      <c r="H80" s="1"/>
      <c r="I80" s="1"/>
      <c r="J80" s="5" t="e">
        <f>SEARCH("verkeerd",B91)</f>
        <v>#VALUE!</v>
      </c>
      <c r="K80" s="1"/>
      <c r="L80" s="3"/>
      <c r="M80" s="3"/>
      <c r="N80" s="1"/>
    </row>
    <row r="81" spans="1:14" x14ac:dyDescent="0.2">
      <c r="A81" s="1"/>
      <c r="B81" s="1" t="s">
        <v>595</v>
      </c>
      <c r="C81" s="1"/>
      <c r="D81" s="1"/>
      <c r="E81" s="1"/>
      <c r="F81" s="1"/>
      <c r="G81" s="1"/>
      <c r="H81" s="1"/>
      <c r="I81" s="1"/>
      <c r="J81" s="5">
        <f>ABS(ISERR(J80))</f>
        <v>1</v>
      </c>
      <c r="K81" s="5">
        <f>ABS(IF(J81=0,"1","0"))</f>
        <v>0</v>
      </c>
      <c r="L81" s="3"/>
      <c r="M81" s="3"/>
      <c r="N81" s="1"/>
    </row>
    <row r="82" spans="1:14" x14ac:dyDescent="0.2">
      <c r="A82" s="1"/>
      <c r="B82" s="67" t="s">
        <v>2671</v>
      </c>
      <c r="C82" s="1"/>
      <c r="D82" s="1"/>
      <c r="E82" s="1"/>
      <c r="F82" s="1"/>
      <c r="G82" s="1"/>
      <c r="H82" s="1"/>
      <c r="I82" s="1"/>
      <c r="J82" s="1"/>
      <c r="K82" s="1"/>
      <c r="L82" s="3"/>
      <c r="M82" s="3"/>
      <c r="N82" s="1"/>
    </row>
    <row r="83" spans="1:14" x14ac:dyDescent="0.2">
      <c r="A83" s="1"/>
      <c r="B83" s="1" t="s">
        <v>596</v>
      </c>
      <c r="C83" s="1"/>
      <c r="D83" s="1"/>
      <c r="E83" s="1"/>
      <c r="F83" s="1"/>
      <c r="G83" s="1"/>
      <c r="H83" s="1"/>
      <c r="I83" s="1"/>
      <c r="J83" s="1"/>
      <c r="K83" s="1"/>
      <c r="L83" s="3"/>
      <c r="M83" s="3"/>
      <c r="N83" s="1"/>
    </row>
    <row r="84" spans="1:14" x14ac:dyDescent="0.2">
      <c r="A84" s="1"/>
      <c r="B84" s="1" t="s">
        <v>597</v>
      </c>
      <c r="C84" s="1"/>
      <c r="D84" s="1"/>
      <c r="E84" s="1"/>
      <c r="F84" s="1"/>
      <c r="G84" s="1"/>
      <c r="H84" s="1"/>
      <c r="I84" s="1"/>
      <c r="J84" s="1"/>
      <c r="K84" s="1"/>
      <c r="L84" s="3"/>
      <c r="M84" s="3"/>
      <c r="N84" s="1"/>
    </row>
    <row r="85" spans="1:14" x14ac:dyDescent="0.2">
      <c r="A85" s="1"/>
      <c r="B85" s="1" t="s">
        <v>598</v>
      </c>
      <c r="C85" s="1"/>
      <c r="D85" s="1"/>
      <c r="E85" s="1"/>
      <c r="F85" s="1"/>
      <c r="G85" s="1"/>
      <c r="H85" s="1"/>
      <c r="I85" s="1"/>
      <c r="J85" s="1"/>
      <c r="K85" s="1"/>
      <c r="L85" s="3"/>
      <c r="M85" s="3"/>
      <c r="N85" s="1"/>
    </row>
    <row r="86" spans="1:14" x14ac:dyDescent="0.2">
      <c r="A86" s="1"/>
      <c r="B86" s="1" t="s">
        <v>599</v>
      </c>
      <c r="C86" s="1"/>
      <c r="D86" s="1"/>
      <c r="E86" s="1"/>
      <c r="F86" s="1"/>
      <c r="G86" s="1"/>
      <c r="H86" s="1"/>
      <c r="I86" s="1"/>
      <c r="J86" s="1"/>
      <c r="K86" s="1"/>
      <c r="L86" s="3"/>
      <c r="M86" s="3"/>
      <c r="N86" s="1"/>
    </row>
    <row r="87" spans="1:14" x14ac:dyDescent="0.2">
      <c r="A87" s="1"/>
      <c r="B87" s="1" t="s">
        <v>600</v>
      </c>
      <c r="C87" s="1"/>
      <c r="D87" s="1"/>
      <c r="E87" s="1"/>
      <c r="F87" s="1"/>
      <c r="G87" s="1"/>
      <c r="H87" s="1"/>
      <c r="I87" s="1"/>
      <c r="J87" s="1"/>
      <c r="K87" s="1"/>
      <c r="L87" s="3"/>
      <c r="M87" s="3"/>
      <c r="N87" s="1"/>
    </row>
    <row r="88" spans="1:14" x14ac:dyDescent="0.2">
      <c r="A88" s="1"/>
      <c r="B88" s="81" t="s">
        <v>603</v>
      </c>
      <c r="C88" s="1"/>
      <c r="D88" s="1"/>
      <c r="E88" s="1"/>
      <c r="F88" s="1"/>
      <c r="G88" s="1"/>
      <c r="H88" s="1"/>
      <c r="I88" s="1"/>
      <c r="J88" s="1"/>
      <c r="K88" s="1"/>
      <c r="L88" s="3"/>
      <c r="M88" s="3"/>
      <c r="N88" s="1"/>
    </row>
    <row r="89" spans="1:14" x14ac:dyDescent="0.2">
      <c r="A89" s="1"/>
      <c r="B89" s="81" t="s">
        <v>608</v>
      </c>
      <c r="C89" s="1"/>
      <c r="D89" s="1"/>
      <c r="E89" s="1"/>
      <c r="F89" s="1"/>
      <c r="G89" s="1"/>
      <c r="H89" s="1"/>
      <c r="I89" s="1"/>
      <c r="J89" s="1"/>
      <c r="K89" s="1"/>
      <c r="L89" s="3"/>
      <c r="M89" s="3"/>
      <c r="N89" s="1"/>
    </row>
    <row r="90" spans="1:14" x14ac:dyDescent="0.2">
      <c r="A90" s="1"/>
      <c r="B90" s="1" t="s">
        <v>995</v>
      </c>
      <c r="C90" s="1"/>
      <c r="D90" s="1"/>
      <c r="E90" s="1"/>
      <c r="F90" s="1"/>
      <c r="G90" s="1"/>
      <c r="H90" s="1"/>
      <c r="I90" s="1"/>
      <c r="J90" s="1"/>
      <c r="K90" s="1"/>
      <c r="L90" s="3"/>
      <c r="M90" s="3"/>
      <c r="N90" s="1"/>
    </row>
    <row r="91" spans="1:14" ht="48.6" customHeight="1" x14ac:dyDescent="0.2">
      <c r="A91" s="1"/>
      <c r="B91" s="107" t="s">
        <v>995</v>
      </c>
      <c r="C91" s="37" t="str">
        <f>IF(J91="JUIST","JUIST","")</f>
        <v/>
      </c>
      <c r="D91" s="1"/>
      <c r="E91" s="1"/>
      <c r="F91" s="1"/>
      <c r="G91" s="1"/>
      <c r="H91" s="1"/>
      <c r="I91" s="1"/>
      <c r="J91" s="5" t="str">
        <f>IF(SUM(K75:K81)=1,"JUIST","")</f>
        <v/>
      </c>
      <c r="K91" s="1"/>
      <c r="L91" s="3"/>
      <c r="M91" s="3"/>
      <c r="N91" s="1"/>
    </row>
    <row r="92" spans="1:14" x14ac:dyDescent="0.2">
      <c r="A92" s="1"/>
      <c r="B92" s="1"/>
      <c r="C92" s="37"/>
      <c r="D92" s="1"/>
      <c r="E92" s="1"/>
      <c r="F92" s="1"/>
      <c r="G92" s="1"/>
      <c r="H92" s="1"/>
      <c r="I92" s="1"/>
      <c r="J92" s="18"/>
      <c r="K92" s="1"/>
      <c r="L92" s="3"/>
      <c r="M92" s="3"/>
      <c r="N92" s="1"/>
    </row>
    <row r="93" spans="1:14" x14ac:dyDescent="0.2">
      <c r="A93" s="1"/>
      <c r="B93" s="82" t="s">
        <v>1033</v>
      </c>
      <c r="C93" s="318" t="s">
        <v>995</v>
      </c>
      <c r="D93" s="1"/>
      <c r="E93" s="1"/>
      <c r="F93" s="1"/>
      <c r="G93" s="1"/>
      <c r="H93" s="1"/>
      <c r="I93" s="1"/>
      <c r="J93" s="18"/>
      <c r="K93" s="1"/>
      <c r="L93" s="3"/>
      <c r="M93" s="3"/>
      <c r="N93" s="1"/>
    </row>
    <row r="94" spans="1:14" ht="27.6" customHeight="1" x14ac:dyDescent="0.2">
      <c r="A94" s="1"/>
      <c r="B94" s="2" t="str">
        <f>J94</f>
        <v/>
      </c>
      <c r="C94" s="37"/>
      <c r="D94" s="1"/>
      <c r="E94" s="1"/>
      <c r="F94" s="1"/>
      <c r="G94" s="1"/>
      <c r="H94" s="1"/>
      <c r="I94" s="1"/>
      <c r="J94" s="18" t="str">
        <f>IF(C93="x","Het is GEEN slim gekozen personeelsdoel. Immers: het personeel is al goed in creativiteit!","")</f>
        <v/>
      </c>
      <c r="K94" s="1"/>
      <c r="L94" s="3"/>
      <c r="M94" s="3"/>
      <c r="N94" s="1"/>
    </row>
    <row r="95" spans="1:14" x14ac:dyDescent="0.2">
      <c r="A95" s="1"/>
      <c r="B95" s="1"/>
      <c r="C95" s="1"/>
      <c r="D95" s="1"/>
      <c r="E95" s="1"/>
      <c r="F95" s="1"/>
      <c r="G95" s="1"/>
      <c r="H95" s="1"/>
      <c r="I95" s="1"/>
      <c r="J95" s="1"/>
      <c r="K95" s="1"/>
      <c r="L95" s="3"/>
      <c r="M95" s="3"/>
      <c r="N95" s="1"/>
    </row>
    <row r="96" spans="1:14" x14ac:dyDescent="0.2">
      <c r="A96" s="14"/>
      <c r="B96" s="14"/>
      <c r="C96" s="14"/>
      <c r="D96" s="14"/>
      <c r="E96" s="14"/>
      <c r="F96" s="14"/>
      <c r="G96" s="14"/>
      <c r="H96" s="14"/>
      <c r="I96" s="14"/>
      <c r="J96" s="1"/>
      <c r="K96" s="1"/>
      <c r="L96" s="3"/>
      <c r="M96" s="3"/>
      <c r="N96" s="1"/>
    </row>
    <row r="97" spans="1:14" x14ac:dyDescent="0.2">
      <c r="A97" s="1"/>
      <c r="B97" s="1"/>
      <c r="C97" s="1"/>
      <c r="D97" s="1"/>
      <c r="E97" s="1"/>
      <c r="F97" s="1"/>
      <c r="G97" s="1"/>
      <c r="H97" s="1"/>
      <c r="I97" s="1"/>
      <c r="J97" s="5" t="e">
        <f>SEARCH("vergader",B104)</f>
        <v>#VALUE!</v>
      </c>
      <c r="K97" s="1"/>
      <c r="L97" s="3"/>
      <c r="M97" s="3"/>
      <c r="N97" s="1"/>
    </row>
    <row r="98" spans="1:14" x14ac:dyDescent="0.2">
      <c r="A98" s="1" t="s">
        <v>862</v>
      </c>
      <c r="B98" s="81" t="s">
        <v>605</v>
      </c>
      <c r="C98" s="1"/>
      <c r="D98" s="1"/>
      <c r="E98" s="1"/>
      <c r="F98" s="1"/>
      <c r="G98" s="1"/>
      <c r="H98" s="1"/>
      <c r="I98" s="1"/>
      <c r="J98" s="5">
        <f>ABS(ISERR(J97))</f>
        <v>1</v>
      </c>
      <c r="K98" s="5">
        <f>ABS(IF(J98=0,"1","0"))</f>
        <v>0</v>
      </c>
      <c r="L98" s="3">
        <v>1</v>
      </c>
      <c r="M98" s="3"/>
      <c r="N98" s="1"/>
    </row>
    <row r="99" spans="1:14" x14ac:dyDescent="0.2">
      <c r="A99" s="1"/>
      <c r="B99" s="67" t="s">
        <v>2672</v>
      </c>
      <c r="C99" s="1"/>
      <c r="D99" s="1"/>
      <c r="E99" s="1"/>
      <c r="F99" s="1"/>
      <c r="G99" s="1"/>
      <c r="H99" s="1"/>
      <c r="I99" s="1"/>
      <c r="J99" s="5" t="e">
        <f>SEARCH("structu",B104)</f>
        <v>#VALUE!</v>
      </c>
      <c r="K99" s="1"/>
      <c r="L99" s="3"/>
      <c r="M99" s="3"/>
      <c r="N99" s="1"/>
    </row>
    <row r="100" spans="1:14" x14ac:dyDescent="0.2">
      <c r="A100" s="1"/>
      <c r="B100" s="1" t="s">
        <v>601</v>
      </c>
      <c r="C100" s="1"/>
      <c r="D100" s="1"/>
      <c r="E100" s="1"/>
      <c r="F100" s="1"/>
      <c r="G100" s="1"/>
      <c r="H100" s="1"/>
      <c r="I100" s="1"/>
      <c r="J100" s="5">
        <f>ABS(ISERR(J99))</f>
        <v>1</v>
      </c>
      <c r="K100" s="5">
        <f>ABS(IF(J100=0,"1","0"))</f>
        <v>0</v>
      </c>
      <c r="L100" s="3"/>
      <c r="M100" s="3"/>
      <c r="N100" s="1"/>
    </row>
    <row r="101" spans="1:14" x14ac:dyDescent="0.2">
      <c r="A101" s="1"/>
      <c r="B101" s="81" t="s">
        <v>602</v>
      </c>
      <c r="C101" s="1"/>
      <c r="D101" s="1"/>
      <c r="E101" s="1"/>
      <c r="F101" s="1"/>
      <c r="G101" s="1"/>
      <c r="H101" s="1"/>
      <c r="I101" s="1"/>
      <c r="J101" s="5" t="e">
        <f>SEARCH("overleg",B104)</f>
        <v>#VALUE!</v>
      </c>
      <c r="K101" s="1"/>
      <c r="L101" s="3"/>
      <c r="M101" s="3"/>
      <c r="N101" s="1"/>
    </row>
    <row r="102" spans="1:14" x14ac:dyDescent="0.2">
      <c r="A102" s="1"/>
      <c r="B102" s="81" t="s">
        <v>608</v>
      </c>
      <c r="C102" s="1"/>
      <c r="D102" s="1"/>
      <c r="E102" s="1"/>
      <c r="F102" s="1"/>
      <c r="G102" s="1"/>
      <c r="H102" s="1"/>
      <c r="I102" s="1"/>
      <c r="J102" s="5">
        <f>ABS(ISERR(J101))</f>
        <v>1</v>
      </c>
      <c r="K102" s="5">
        <f>ABS(IF(J102=0,"1","0"))</f>
        <v>0</v>
      </c>
      <c r="L102" s="3"/>
      <c r="M102" s="3"/>
      <c r="N102" s="1"/>
    </row>
    <row r="103" spans="1:14" ht="13.35" customHeight="1" x14ac:dyDescent="0.2">
      <c r="A103" s="1"/>
      <c r="B103" s="1"/>
      <c r="C103" s="1"/>
      <c r="D103" s="1"/>
      <c r="E103" s="1"/>
      <c r="F103" s="1"/>
      <c r="G103" s="1"/>
      <c r="H103" s="1"/>
      <c r="I103" s="1"/>
      <c r="J103" s="1"/>
      <c r="K103" s="1"/>
      <c r="L103" s="3"/>
      <c r="M103" s="3"/>
      <c r="N103" s="1"/>
    </row>
    <row r="104" spans="1:14" ht="48" customHeight="1" x14ac:dyDescent="0.2">
      <c r="A104" s="1"/>
      <c r="B104" s="107" t="s">
        <v>995</v>
      </c>
      <c r="C104" s="37" t="str">
        <f>IF(J104="JUIST","JUIST","")</f>
        <v/>
      </c>
      <c r="D104" s="1"/>
      <c r="E104" s="1"/>
      <c r="F104" s="1"/>
      <c r="G104" s="1"/>
      <c r="H104" s="1"/>
      <c r="I104" s="1"/>
      <c r="J104" s="5" t="str">
        <f>IF(SUM(K98:K102)=1,"JUIST","")</f>
        <v/>
      </c>
      <c r="K104" s="1"/>
      <c r="L104" s="3"/>
      <c r="M104" s="3"/>
      <c r="N104" s="1"/>
    </row>
    <row r="105" spans="1:14" x14ac:dyDescent="0.2">
      <c r="A105" s="1"/>
      <c r="B105" s="1"/>
      <c r="C105" s="37"/>
      <c r="D105" s="1"/>
      <c r="E105" s="1"/>
      <c r="F105" s="1"/>
      <c r="G105" s="1"/>
      <c r="H105" s="1"/>
      <c r="I105" s="1"/>
      <c r="J105" s="18"/>
      <c r="K105" s="1"/>
      <c r="L105" s="3"/>
      <c r="M105" s="3"/>
      <c r="N105" s="1"/>
    </row>
    <row r="106" spans="1:14" ht="16.350000000000001" customHeight="1" x14ac:dyDescent="0.2">
      <c r="A106" s="1"/>
      <c r="B106" s="82" t="s">
        <v>1033</v>
      </c>
      <c r="C106" s="10" t="s">
        <v>995</v>
      </c>
      <c r="D106" s="1"/>
      <c r="E106" s="1"/>
      <c r="F106" s="1"/>
      <c r="G106" s="1"/>
      <c r="H106" s="1"/>
      <c r="I106" s="1"/>
      <c r="J106" s="18"/>
      <c r="K106" s="1"/>
      <c r="L106" s="3"/>
      <c r="M106" s="3"/>
      <c r="N106" s="1"/>
    </row>
    <row r="107" spans="1:14" ht="27.6" customHeight="1" x14ac:dyDescent="0.2">
      <c r="A107" s="1"/>
      <c r="B107" s="2" t="str">
        <f>J107</f>
        <v/>
      </c>
      <c r="C107" s="37"/>
      <c r="D107" s="1"/>
      <c r="E107" s="1"/>
      <c r="F107" s="1"/>
      <c r="G107" s="1"/>
      <c r="H107" s="1"/>
      <c r="I107" s="1"/>
      <c r="J107" s="18" t="str">
        <f>IF(C106="x","Geschikt alternatief: vergroting van de vergadervaardigheden van het personeel.","")</f>
        <v/>
      </c>
      <c r="K107" s="1"/>
      <c r="L107" s="3"/>
      <c r="M107" s="3"/>
      <c r="N107" s="1"/>
    </row>
    <row r="108" spans="1:14" x14ac:dyDescent="0.2">
      <c r="A108" s="1"/>
      <c r="B108" s="1"/>
      <c r="C108" s="1"/>
      <c r="D108" s="1"/>
      <c r="E108" s="1"/>
      <c r="F108" s="1"/>
      <c r="G108" s="1"/>
      <c r="H108" s="1"/>
      <c r="I108" s="1"/>
      <c r="J108" s="1"/>
      <c r="K108" s="1"/>
      <c r="L108" s="3"/>
      <c r="M108" s="3"/>
      <c r="N108" s="1"/>
    </row>
    <row r="109" spans="1:14" x14ac:dyDescent="0.2">
      <c r="A109" s="14"/>
      <c r="B109" s="14"/>
      <c r="C109" s="14"/>
      <c r="D109" s="14"/>
      <c r="E109" s="14"/>
      <c r="F109" s="14"/>
      <c r="G109" s="14"/>
      <c r="H109" s="14"/>
      <c r="I109" s="14"/>
      <c r="J109" s="1"/>
      <c r="K109" s="1"/>
      <c r="L109" s="3"/>
      <c r="M109" s="3"/>
      <c r="N109" s="1"/>
    </row>
    <row r="110" spans="1:14" x14ac:dyDescent="0.2">
      <c r="A110" s="1"/>
      <c r="B110" s="1"/>
      <c r="C110" s="1"/>
      <c r="D110" s="1"/>
      <c r="E110" s="1"/>
      <c r="F110" s="1"/>
      <c r="G110" s="1"/>
      <c r="H110" s="1"/>
      <c r="I110" s="1"/>
      <c r="J110" s="5" t="e">
        <f>SEARCH("info",E111)</f>
        <v>#VALUE!</v>
      </c>
      <c r="K110" s="1"/>
      <c r="L110" s="3"/>
      <c r="M110" s="3"/>
      <c r="N110" s="1"/>
    </row>
    <row r="111" spans="1:14" x14ac:dyDescent="0.2">
      <c r="A111" s="1" t="s">
        <v>870</v>
      </c>
      <c r="B111" s="1" t="s">
        <v>2151</v>
      </c>
      <c r="C111" s="1"/>
      <c r="D111" s="111" t="s">
        <v>611</v>
      </c>
      <c r="E111" s="7" t="s">
        <v>995</v>
      </c>
      <c r="F111" s="109" t="s">
        <v>618</v>
      </c>
      <c r="G111" s="110"/>
      <c r="H111" s="1" t="str">
        <f>IF(C120="x",J117,"")</f>
        <v/>
      </c>
      <c r="I111" s="1"/>
      <c r="J111" s="5">
        <f>ABS(ISERR(J110))</f>
        <v>1</v>
      </c>
      <c r="K111" s="5">
        <f>ABS(IF(J111=0,"1","0"))</f>
        <v>0</v>
      </c>
      <c r="L111" s="3">
        <v>1</v>
      </c>
      <c r="M111" s="3"/>
      <c r="N111" s="1"/>
    </row>
    <row r="112" spans="1:14" x14ac:dyDescent="0.2">
      <c r="A112" s="1"/>
      <c r="B112" s="1" t="s">
        <v>606</v>
      </c>
      <c r="C112" s="1"/>
      <c r="D112" s="111" t="s">
        <v>612</v>
      </c>
      <c r="E112" s="6" t="s">
        <v>621</v>
      </c>
      <c r="F112" s="109" t="s">
        <v>619</v>
      </c>
      <c r="G112" s="110"/>
      <c r="H112" s="1"/>
      <c r="I112" s="1"/>
      <c r="J112" s="5" t="e">
        <f>SEARCH("toets",E114)</f>
        <v>#VALUE!</v>
      </c>
      <c r="K112" s="1"/>
      <c r="L112" s="3"/>
      <c r="M112" s="3"/>
      <c r="N112" s="1"/>
    </row>
    <row r="113" spans="1:14" x14ac:dyDescent="0.2">
      <c r="A113" s="1"/>
      <c r="B113" s="1" t="s">
        <v>607</v>
      </c>
      <c r="C113" s="1"/>
      <c r="D113" s="111" t="s">
        <v>613</v>
      </c>
      <c r="E113" s="6" t="s">
        <v>622</v>
      </c>
      <c r="F113" s="109" t="s">
        <v>620</v>
      </c>
      <c r="G113" s="110"/>
      <c r="H113" s="1"/>
      <c r="I113" s="1"/>
      <c r="J113" s="5">
        <f>ABS(ISERR(J112))</f>
        <v>1</v>
      </c>
      <c r="K113" s="5">
        <f>ABS(IF(J113=0,"1","0"))</f>
        <v>0</v>
      </c>
      <c r="L113" s="3">
        <v>1</v>
      </c>
      <c r="M113" s="3"/>
      <c r="N113" s="1"/>
    </row>
    <row r="114" spans="1:14" x14ac:dyDescent="0.2">
      <c r="A114" s="1"/>
      <c r="B114" s="1" t="s">
        <v>633</v>
      </c>
      <c r="C114" s="1"/>
      <c r="D114" s="111" t="s">
        <v>614</v>
      </c>
      <c r="E114" s="7" t="s">
        <v>995</v>
      </c>
      <c r="F114" s="109" t="s">
        <v>628</v>
      </c>
      <c r="G114" s="110"/>
      <c r="H114" s="1" t="str">
        <f>IF(C120="x",J118,"")</f>
        <v/>
      </c>
      <c r="I114" s="1"/>
      <c r="J114" s="5" t="e">
        <f>SEARCH("SMART",E117)</f>
        <v>#VALUE!</v>
      </c>
      <c r="K114" s="1"/>
      <c r="L114" s="3"/>
      <c r="M114" s="3"/>
      <c r="N114" s="1"/>
    </row>
    <row r="115" spans="1:14" x14ac:dyDescent="0.2">
      <c r="A115" s="1"/>
      <c r="B115" s="1" t="s">
        <v>2152</v>
      </c>
      <c r="C115" s="1"/>
      <c r="D115" s="111" t="s">
        <v>615</v>
      </c>
      <c r="E115" s="6" t="s">
        <v>626</v>
      </c>
      <c r="F115" s="109" t="s">
        <v>623</v>
      </c>
      <c r="G115" s="110"/>
      <c r="H115" s="1"/>
      <c r="I115" s="1"/>
      <c r="J115" s="5">
        <f>ABS(ISERR(J114))</f>
        <v>1</v>
      </c>
      <c r="K115" s="5">
        <f>ABS(IF(J115=0,"1","0"))</f>
        <v>0</v>
      </c>
      <c r="L115" s="3">
        <v>1</v>
      </c>
      <c r="M115" s="3"/>
      <c r="N115" s="1"/>
    </row>
    <row r="116" spans="1:14" x14ac:dyDescent="0.2">
      <c r="A116" s="1"/>
      <c r="B116" s="1" t="s">
        <v>2153</v>
      </c>
      <c r="C116" s="1"/>
      <c r="D116" s="111" t="s">
        <v>616</v>
      </c>
      <c r="E116" s="6" t="s">
        <v>625</v>
      </c>
      <c r="F116" s="109" t="s">
        <v>632</v>
      </c>
      <c r="G116" s="110"/>
      <c r="H116" s="1"/>
      <c r="I116" s="1"/>
      <c r="J116" s="1"/>
      <c r="K116" s="1"/>
      <c r="L116" s="3"/>
      <c r="M116" s="3"/>
      <c r="N116" s="1"/>
    </row>
    <row r="117" spans="1:14" x14ac:dyDescent="0.2">
      <c r="A117" s="1"/>
      <c r="B117" s="519" t="s">
        <v>2154</v>
      </c>
      <c r="C117" s="1"/>
      <c r="D117" s="111" t="s">
        <v>617</v>
      </c>
      <c r="E117" s="7" t="s">
        <v>995</v>
      </c>
      <c r="F117" s="109" t="s">
        <v>624</v>
      </c>
      <c r="G117" s="110"/>
      <c r="H117" s="1" t="str">
        <f>IF(C120="x",J119,"")</f>
        <v/>
      </c>
      <c r="I117" s="1"/>
      <c r="J117" s="61" t="s">
        <v>631</v>
      </c>
      <c r="K117" s="1"/>
      <c r="L117" s="3"/>
      <c r="M117" s="3"/>
      <c r="N117" s="1"/>
    </row>
    <row r="118" spans="1:14" x14ac:dyDescent="0.2">
      <c r="A118" s="1"/>
      <c r="B118" s="81" t="s">
        <v>610</v>
      </c>
      <c r="C118" s="1"/>
      <c r="D118" s="1"/>
      <c r="E118" s="1"/>
      <c r="F118" s="1"/>
      <c r="G118" s="1"/>
      <c r="H118" s="1"/>
      <c r="I118" s="1"/>
      <c r="J118" s="61" t="s">
        <v>630</v>
      </c>
      <c r="K118" s="1"/>
      <c r="L118" s="3"/>
      <c r="M118" s="3"/>
      <c r="N118" s="1"/>
    </row>
    <row r="119" spans="1:14" x14ac:dyDescent="0.2">
      <c r="A119" s="1"/>
      <c r="B119" s="1"/>
      <c r="C119" s="1"/>
      <c r="D119" s="1"/>
      <c r="E119" s="1"/>
      <c r="F119" s="1"/>
      <c r="G119" s="1"/>
      <c r="H119" s="1"/>
      <c r="I119" s="1"/>
      <c r="J119" s="61" t="s">
        <v>629</v>
      </c>
      <c r="K119" s="1"/>
      <c r="L119" s="3"/>
      <c r="M119" s="3"/>
      <c r="N119" s="1"/>
    </row>
    <row r="120" spans="1:14" x14ac:dyDescent="0.2">
      <c r="A120" s="1"/>
      <c r="B120" s="82" t="s">
        <v>627</v>
      </c>
      <c r="C120" s="318" t="s">
        <v>995</v>
      </c>
      <c r="D120" s="1"/>
      <c r="E120" s="1"/>
      <c r="F120" s="1"/>
      <c r="G120" s="1"/>
      <c r="H120" s="1"/>
      <c r="I120" s="1"/>
      <c r="J120" s="1"/>
      <c r="K120" s="1"/>
      <c r="L120" s="3"/>
      <c r="M120" s="3"/>
      <c r="N120" s="1"/>
    </row>
    <row r="121" spans="1:14" x14ac:dyDescent="0.2">
      <c r="A121" s="1"/>
      <c r="B121" s="1"/>
      <c r="C121" s="1" t="s">
        <v>995</v>
      </c>
      <c r="D121" s="1"/>
      <c r="E121" s="1"/>
      <c r="F121" s="1"/>
      <c r="G121" s="1"/>
      <c r="H121" s="1"/>
      <c r="I121" s="1"/>
      <c r="J121" s="1"/>
      <c r="K121" s="1"/>
      <c r="L121" s="3"/>
      <c r="M121" s="3"/>
      <c r="N121" s="1"/>
    </row>
    <row r="122" spans="1:14" x14ac:dyDescent="0.2">
      <c r="A122" s="14"/>
      <c r="B122" s="14"/>
      <c r="C122" s="14"/>
      <c r="D122" s="14"/>
      <c r="E122" s="14"/>
      <c r="F122" s="14"/>
      <c r="G122" s="14"/>
      <c r="H122" s="14"/>
      <c r="I122" s="14"/>
      <c r="J122" s="1"/>
      <c r="K122" s="1"/>
      <c r="L122" s="3"/>
      <c r="M122" s="3"/>
      <c r="N122" s="1"/>
    </row>
    <row r="123" spans="1:14" x14ac:dyDescent="0.2">
      <c r="A123" s="1"/>
      <c r="B123" s="1"/>
      <c r="C123" s="1"/>
      <c r="D123" s="1"/>
      <c r="E123" s="1"/>
      <c r="F123" s="1"/>
      <c r="G123" s="1"/>
      <c r="H123" s="1"/>
      <c r="I123" s="1"/>
      <c r="J123" s="1"/>
      <c r="K123" s="1"/>
      <c r="L123" s="3"/>
      <c r="M123" s="3"/>
      <c r="N123" s="1"/>
    </row>
    <row r="124" spans="1:14" ht="26.25" thickBot="1" x14ac:dyDescent="0.25">
      <c r="A124" s="25" t="s">
        <v>1632</v>
      </c>
      <c r="B124" s="103" t="s">
        <v>2155</v>
      </c>
      <c r="C124" s="102" t="s">
        <v>446</v>
      </c>
      <c r="D124" s="102" t="s">
        <v>1623</v>
      </c>
      <c r="E124" s="526" t="s">
        <v>2119</v>
      </c>
      <c r="F124" s="527" t="s">
        <v>2120</v>
      </c>
      <c r="G124" s="1"/>
      <c r="H124" s="1"/>
      <c r="I124" s="1"/>
      <c r="J124" s="1"/>
      <c r="K124" s="1"/>
      <c r="L124" s="3"/>
      <c r="M124" s="3"/>
      <c r="N124" s="1"/>
    </row>
    <row r="125" spans="1:14" ht="13.5" thickTop="1" x14ac:dyDescent="0.2">
      <c r="A125" s="1"/>
      <c r="B125" s="25" t="s">
        <v>2156</v>
      </c>
      <c r="C125" s="56" t="s">
        <v>995</v>
      </c>
      <c r="D125" s="56" t="s">
        <v>995</v>
      </c>
      <c r="E125" s="56" t="s">
        <v>995</v>
      </c>
      <c r="F125" s="56" t="s">
        <v>995</v>
      </c>
      <c r="G125" s="1"/>
      <c r="H125" s="1"/>
      <c r="I125" s="1"/>
      <c r="J125" s="5" t="str">
        <f>IF(C125="x","JUIST","")</f>
        <v/>
      </c>
      <c r="K125" s="5">
        <f>ABS(IF(J125="JUIST","1","0"))</f>
        <v>0</v>
      </c>
      <c r="L125" s="3">
        <v>1</v>
      </c>
      <c r="M125" s="3"/>
      <c r="N125" s="1"/>
    </row>
    <row r="126" spans="1:14" x14ac:dyDescent="0.2">
      <c r="A126" s="1"/>
      <c r="B126" s="61" t="s">
        <v>2157</v>
      </c>
      <c r="C126" s="3" t="s">
        <v>475</v>
      </c>
      <c r="D126" s="3" t="s">
        <v>476</v>
      </c>
      <c r="E126" s="3" t="s">
        <v>477</v>
      </c>
      <c r="F126" s="3" t="s">
        <v>478</v>
      </c>
      <c r="G126" s="1"/>
      <c r="H126" s="1"/>
      <c r="I126" s="1"/>
      <c r="J126" s="5" t="str">
        <f>IF(D125="x","FOUT","")</f>
        <v/>
      </c>
      <c r="K126" s="5">
        <f>ABS(IF(J126="JUIST","1","0"))</f>
        <v>0</v>
      </c>
      <c r="L126" s="3"/>
      <c r="M126" s="3"/>
      <c r="N126" s="1"/>
    </row>
    <row r="127" spans="1:14" x14ac:dyDescent="0.2">
      <c r="A127" s="1"/>
      <c r="B127" s="1" t="s">
        <v>2158</v>
      </c>
      <c r="C127" s="1"/>
      <c r="D127" s="1"/>
      <c r="E127" s="1"/>
      <c r="F127" s="1"/>
      <c r="G127" s="1"/>
      <c r="H127" s="1"/>
      <c r="I127" s="1"/>
      <c r="J127" s="5" t="str">
        <f>IF(E125="x","FOUT","")</f>
        <v/>
      </c>
      <c r="K127" s="5">
        <f>ABS(IF(J127="JUIST","1","0"))</f>
        <v>0</v>
      </c>
      <c r="L127" s="3" t="s">
        <v>995</v>
      </c>
      <c r="M127" s="3"/>
      <c r="N127" s="1"/>
    </row>
    <row r="128" spans="1:14" x14ac:dyDescent="0.2">
      <c r="A128" s="1"/>
      <c r="B128" s="80" t="s">
        <v>333</v>
      </c>
      <c r="C128" s="1"/>
      <c r="D128" s="1"/>
      <c r="E128" s="1"/>
      <c r="F128" s="1"/>
      <c r="G128" s="1"/>
      <c r="H128" s="1"/>
      <c r="I128" s="1"/>
      <c r="J128" s="5" t="str">
        <f>IF(F125="x","FOUT","")</f>
        <v/>
      </c>
      <c r="K128" s="5">
        <f>ABS(IF(J128="JUIST","1","0"))</f>
        <v>0</v>
      </c>
      <c r="L128" s="3" t="s">
        <v>995</v>
      </c>
      <c r="M128" s="3"/>
      <c r="N128" s="1"/>
    </row>
    <row r="129" spans="1:14" x14ac:dyDescent="0.2">
      <c r="A129" s="1"/>
      <c r="B129" s="81" t="s">
        <v>895</v>
      </c>
      <c r="C129" s="1"/>
      <c r="D129" s="1"/>
      <c r="E129" s="1"/>
      <c r="F129" s="1"/>
      <c r="G129" s="1"/>
      <c r="H129" s="1"/>
      <c r="I129" s="1"/>
      <c r="J129" s="79" t="s">
        <v>995</v>
      </c>
      <c r="K129" s="1"/>
      <c r="L129" s="3"/>
      <c r="M129" s="3"/>
      <c r="N129" s="1"/>
    </row>
    <row r="130" spans="1:14" x14ac:dyDescent="0.2">
      <c r="A130" s="1"/>
      <c r="B130" s="1"/>
      <c r="C130" s="1"/>
      <c r="D130" s="1"/>
      <c r="E130" s="1"/>
      <c r="F130" s="1"/>
      <c r="G130" s="1"/>
      <c r="H130" s="1"/>
      <c r="I130" s="1"/>
      <c r="K130" s="1"/>
      <c r="L130" s="3"/>
      <c r="M130" s="3"/>
      <c r="N130" s="1"/>
    </row>
    <row r="131" spans="1:14" x14ac:dyDescent="0.2">
      <c r="A131" s="1"/>
      <c r="B131" s="82" t="s">
        <v>1033</v>
      </c>
      <c r="C131" s="318" t="s">
        <v>995</v>
      </c>
      <c r="D131" s="1"/>
      <c r="E131" s="1"/>
      <c r="F131" s="1"/>
      <c r="G131" s="1"/>
      <c r="H131" s="1"/>
      <c r="I131" s="1"/>
      <c r="J131" s="1"/>
      <c r="K131" s="1"/>
      <c r="L131" s="3"/>
      <c r="M131" s="3"/>
      <c r="N131" s="1"/>
    </row>
    <row r="132" spans="1:14" x14ac:dyDescent="0.2">
      <c r="A132" s="1"/>
      <c r="B132" s="52" t="str">
        <f>J132</f>
        <v/>
      </c>
      <c r="C132" s="1"/>
      <c r="D132" s="1"/>
      <c r="E132" s="1"/>
      <c r="F132" s="1"/>
      <c r="G132" s="1"/>
      <c r="H132" s="1"/>
      <c r="I132" s="1"/>
      <c r="J132" s="73" t="str">
        <f>IF(C131="x","Het juiste antwoord is: A","")</f>
        <v/>
      </c>
      <c r="K132" s="1"/>
      <c r="L132" s="3"/>
      <c r="M132" s="3"/>
      <c r="N132" s="1"/>
    </row>
    <row r="133" spans="1:14" x14ac:dyDescent="0.2">
      <c r="A133" s="1"/>
      <c r="B133" s="1"/>
      <c r="C133" s="1"/>
      <c r="D133" s="1"/>
      <c r="E133" s="1"/>
      <c r="F133" s="1"/>
      <c r="G133" s="1"/>
      <c r="H133" s="1"/>
      <c r="I133" s="1"/>
      <c r="J133" s="1"/>
      <c r="K133" s="1"/>
      <c r="L133" s="3"/>
      <c r="M133" s="3"/>
      <c r="N133" s="1"/>
    </row>
    <row r="134" spans="1:14" x14ac:dyDescent="0.2">
      <c r="A134" s="14"/>
      <c r="B134" s="14"/>
      <c r="C134" s="14"/>
      <c r="D134" s="14"/>
      <c r="E134" s="14"/>
      <c r="F134" s="14"/>
      <c r="G134" s="14"/>
      <c r="H134" s="14"/>
      <c r="I134" s="14"/>
      <c r="J134" s="1"/>
      <c r="K134" s="1"/>
      <c r="L134" s="3"/>
      <c r="M134" s="3"/>
      <c r="N134" s="1"/>
    </row>
    <row r="135" spans="1:14" x14ac:dyDescent="0.2">
      <c r="A135" s="1"/>
      <c r="B135" s="1"/>
      <c r="C135" s="1"/>
      <c r="D135" s="1"/>
      <c r="E135" s="1"/>
      <c r="F135" s="1"/>
      <c r="G135" s="1"/>
      <c r="H135" s="1"/>
      <c r="I135" s="1"/>
      <c r="J135" s="1"/>
      <c r="K135" s="1"/>
      <c r="L135" s="3"/>
      <c r="M135" s="3"/>
      <c r="N135" s="1"/>
    </row>
    <row r="136" spans="1:14" ht="26.25" thickBot="1" x14ac:dyDescent="0.25">
      <c r="A136" s="25" t="s">
        <v>1646</v>
      </c>
      <c r="B136" s="103" t="s">
        <v>2159</v>
      </c>
      <c r="C136" s="102" t="s">
        <v>446</v>
      </c>
      <c r="D136" s="102" t="s">
        <v>1623</v>
      </c>
      <c r="E136" s="526" t="s">
        <v>2119</v>
      </c>
      <c r="F136" s="527" t="s">
        <v>2120</v>
      </c>
      <c r="G136" s="1"/>
      <c r="H136" s="1"/>
      <c r="I136" s="1"/>
      <c r="J136" s="1"/>
      <c r="K136" s="1"/>
      <c r="L136" s="3"/>
      <c r="M136" s="3"/>
      <c r="N136" s="1"/>
    </row>
    <row r="137" spans="1:14" ht="13.5" thickTop="1" x14ac:dyDescent="0.2">
      <c r="A137" s="1"/>
      <c r="B137" s="1" t="s">
        <v>2160</v>
      </c>
      <c r="C137" s="56" t="s">
        <v>995</v>
      </c>
      <c r="D137" s="56" t="s">
        <v>995</v>
      </c>
      <c r="E137" s="56" t="s">
        <v>995</v>
      </c>
      <c r="F137" s="56" t="s">
        <v>995</v>
      </c>
      <c r="G137" s="1"/>
      <c r="H137" s="1"/>
      <c r="I137" s="1"/>
      <c r="J137" s="5" t="str">
        <f>IF(C137="x","FOUT","")</f>
        <v/>
      </c>
      <c r="K137" s="5">
        <f>ABS(IF(J137="JUIST","1","0"))</f>
        <v>0</v>
      </c>
      <c r="L137" s="3" t="s">
        <v>995</v>
      </c>
      <c r="M137" s="3"/>
      <c r="N137" s="1"/>
    </row>
    <row r="138" spans="1:14" x14ac:dyDescent="0.2">
      <c r="A138" s="1"/>
      <c r="B138" s="61" t="s">
        <v>2618</v>
      </c>
      <c r="C138" s="3" t="s">
        <v>475</v>
      </c>
      <c r="D138" s="3" t="s">
        <v>476</v>
      </c>
      <c r="E138" s="3" t="s">
        <v>477</v>
      </c>
      <c r="F138" s="3" t="s">
        <v>478</v>
      </c>
      <c r="G138" s="1"/>
      <c r="H138" s="1"/>
      <c r="I138" s="1"/>
      <c r="J138" s="5" t="str">
        <f>IF(D137="x","JUIST","")</f>
        <v/>
      </c>
      <c r="K138" s="5">
        <f>ABS(IF(J138="JUIST","1","0"))</f>
        <v>0</v>
      </c>
      <c r="L138" s="3">
        <v>1</v>
      </c>
      <c r="M138" s="3"/>
      <c r="N138" s="1"/>
    </row>
    <row r="139" spans="1:14" x14ac:dyDescent="0.2">
      <c r="A139" s="1"/>
      <c r="B139" s="1" t="s">
        <v>2619</v>
      </c>
      <c r="C139" s="1"/>
      <c r="D139" s="1"/>
      <c r="E139" s="1"/>
      <c r="F139" s="1"/>
      <c r="G139" s="1"/>
      <c r="H139" s="1"/>
      <c r="I139" s="1"/>
      <c r="J139" s="5" t="str">
        <f>IF(E137="x","FOUT","")</f>
        <v/>
      </c>
      <c r="K139" s="5">
        <f>ABS(IF(J139="JUIST","1","0"))</f>
        <v>0</v>
      </c>
      <c r="L139" s="3" t="s">
        <v>995</v>
      </c>
      <c r="M139" s="3"/>
      <c r="N139" s="1"/>
    </row>
    <row r="140" spans="1:14" x14ac:dyDescent="0.2">
      <c r="A140" s="1"/>
      <c r="B140" s="80" t="s">
        <v>333</v>
      </c>
      <c r="C140" s="1"/>
      <c r="D140" s="1"/>
      <c r="E140" s="1"/>
      <c r="F140" s="1"/>
      <c r="G140" s="1"/>
      <c r="H140" s="1"/>
      <c r="I140" s="1"/>
      <c r="J140" s="5" t="str">
        <f>IF(F137="x","FOUT","")</f>
        <v/>
      </c>
      <c r="K140" s="5">
        <f>ABS(IF(J140="JUIST","1","0"))</f>
        <v>0</v>
      </c>
      <c r="L140" s="3" t="s">
        <v>995</v>
      </c>
      <c r="M140" s="3"/>
      <c r="N140" s="1"/>
    </row>
    <row r="141" spans="1:14" x14ac:dyDescent="0.2">
      <c r="A141" s="1"/>
      <c r="B141" s="81" t="s">
        <v>895</v>
      </c>
      <c r="C141" s="1"/>
      <c r="D141" s="1"/>
      <c r="E141" s="1"/>
      <c r="F141" s="1"/>
      <c r="G141" s="1"/>
      <c r="H141" s="1"/>
      <c r="I141" s="1"/>
      <c r="J141" s="79" t="s">
        <v>995</v>
      </c>
      <c r="K141" s="1"/>
      <c r="L141" s="3"/>
      <c r="M141" s="3"/>
      <c r="N141" s="1"/>
    </row>
    <row r="142" spans="1:14" x14ac:dyDescent="0.2">
      <c r="A142" s="1"/>
      <c r="B142" s="1"/>
      <c r="C142" s="1"/>
      <c r="D142" s="1"/>
      <c r="E142" s="1"/>
      <c r="F142" s="1"/>
      <c r="G142" s="1"/>
      <c r="H142" s="1"/>
      <c r="I142" s="1"/>
      <c r="K142" s="1"/>
      <c r="L142" s="3"/>
      <c r="M142" s="3"/>
      <c r="N142" s="1"/>
    </row>
    <row r="143" spans="1:14" x14ac:dyDescent="0.2">
      <c r="A143" s="1"/>
      <c r="B143" s="82" t="s">
        <v>1033</v>
      </c>
      <c r="C143" s="318" t="s">
        <v>995</v>
      </c>
      <c r="D143" s="1"/>
      <c r="E143" s="1"/>
      <c r="F143" s="1"/>
      <c r="G143" s="1"/>
      <c r="H143" s="1"/>
      <c r="I143" s="1"/>
      <c r="J143" s="1"/>
      <c r="K143" s="1"/>
      <c r="L143" s="3"/>
      <c r="M143" s="3"/>
      <c r="N143" s="1"/>
    </row>
    <row r="144" spans="1:14" x14ac:dyDescent="0.2">
      <c r="A144" s="1"/>
      <c r="B144" s="52" t="str">
        <f>J144</f>
        <v/>
      </c>
      <c r="C144" s="1"/>
      <c r="D144" s="1"/>
      <c r="E144" s="1"/>
      <c r="F144" s="1"/>
      <c r="G144" s="1"/>
      <c r="H144" s="1"/>
      <c r="I144" s="1"/>
      <c r="J144" s="73" t="str">
        <f>IF(C143="x","Het juiste antwoord is: B","")</f>
        <v/>
      </c>
      <c r="K144" s="1"/>
      <c r="L144" s="3"/>
      <c r="M144" s="3"/>
      <c r="N144" s="1"/>
    </row>
    <row r="145" spans="1:14" x14ac:dyDescent="0.2">
      <c r="A145" s="1"/>
      <c r="B145" s="119"/>
      <c r="C145" s="1"/>
      <c r="D145" s="1"/>
      <c r="E145" s="1"/>
      <c r="F145" s="1"/>
      <c r="G145" s="1"/>
      <c r="H145" s="1"/>
      <c r="I145" s="1"/>
      <c r="J145" s="120"/>
      <c r="K145" s="1"/>
      <c r="L145" s="3"/>
      <c r="M145" s="3"/>
      <c r="N145" s="1"/>
    </row>
    <row r="146" spans="1:14" x14ac:dyDescent="0.2">
      <c r="A146" s="14"/>
      <c r="B146" s="121"/>
      <c r="C146" s="14"/>
      <c r="D146" s="14"/>
      <c r="E146" s="14"/>
      <c r="F146" s="14"/>
      <c r="G146" s="14"/>
      <c r="H146" s="14"/>
      <c r="I146" s="14"/>
      <c r="J146" s="120"/>
      <c r="K146" s="1"/>
      <c r="L146" s="3"/>
      <c r="M146" s="3"/>
      <c r="N146" s="1"/>
    </row>
    <row r="147" spans="1:14" x14ac:dyDescent="0.2">
      <c r="A147" s="1"/>
      <c r="B147" s="123"/>
      <c r="C147" s="1"/>
      <c r="D147" s="1"/>
      <c r="E147" s="1"/>
      <c r="F147" s="1"/>
      <c r="G147" s="1"/>
      <c r="H147" s="1"/>
      <c r="I147" s="1"/>
      <c r="J147" s="120"/>
      <c r="K147" s="1"/>
      <c r="L147" s="3"/>
      <c r="M147" s="3"/>
      <c r="N147" s="1"/>
    </row>
    <row r="148" spans="1:14" x14ac:dyDescent="0.2">
      <c r="A148" s="1" t="s">
        <v>949</v>
      </c>
      <c r="B148" s="528" t="s">
        <v>2161</v>
      </c>
      <c r="C148" s="135" t="s">
        <v>995</v>
      </c>
      <c r="D148" s="6" t="s">
        <v>960</v>
      </c>
      <c r="E148" s="128" t="s">
        <v>958</v>
      </c>
      <c r="F148" s="12" t="s">
        <v>956</v>
      </c>
      <c r="G148" s="12" t="s">
        <v>966</v>
      </c>
      <c r="H148" s="1" t="s">
        <v>977</v>
      </c>
      <c r="I148" s="1"/>
      <c r="J148" s="120"/>
      <c r="K148" s="1"/>
      <c r="L148" s="3"/>
      <c r="M148" s="3"/>
      <c r="N148" s="1"/>
    </row>
    <row r="149" spans="1:14" x14ac:dyDescent="0.2">
      <c r="A149" s="1"/>
      <c r="B149" s="122" t="s">
        <v>950</v>
      </c>
      <c r="C149" s="85"/>
      <c r="D149" s="136"/>
      <c r="E149" s="139" t="s">
        <v>954</v>
      </c>
      <c r="F149" s="87" t="s">
        <v>955</v>
      </c>
      <c r="G149" s="87" t="s">
        <v>967</v>
      </c>
      <c r="H149" s="1" t="s">
        <v>995</v>
      </c>
      <c r="I149" s="1"/>
      <c r="J149" s="120"/>
      <c r="K149" s="1"/>
      <c r="L149" s="3"/>
      <c r="M149" s="3"/>
      <c r="N149" s="1"/>
    </row>
    <row r="150" spans="1:14" ht="13.5" thickBot="1" x14ac:dyDescent="0.25">
      <c r="A150" s="1"/>
      <c r="B150" s="122" t="s">
        <v>951</v>
      </c>
      <c r="C150" s="62" t="s">
        <v>959</v>
      </c>
      <c r="D150" s="124" t="s">
        <v>953</v>
      </c>
      <c r="E150" s="140" t="s">
        <v>957</v>
      </c>
      <c r="F150" s="141" t="s">
        <v>957</v>
      </c>
      <c r="G150" s="141" t="s">
        <v>957</v>
      </c>
      <c r="H150" s="1"/>
      <c r="I150" s="1"/>
      <c r="J150" s="120"/>
      <c r="K150" s="1"/>
      <c r="L150" s="3"/>
      <c r="M150" s="3"/>
      <c r="N150" s="1"/>
    </row>
    <row r="151" spans="1:14" ht="13.5" thickTop="1" x14ac:dyDescent="0.2">
      <c r="A151" s="1"/>
      <c r="B151" s="529" t="s">
        <v>2162</v>
      </c>
      <c r="C151" s="125" t="s">
        <v>961</v>
      </c>
      <c r="D151" s="142">
        <v>0</v>
      </c>
      <c r="E151" s="143">
        <v>0</v>
      </c>
      <c r="F151" s="551">
        <v>0</v>
      </c>
      <c r="G151" s="551">
        <v>0</v>
      </c>
      <c r="H151" s="553" t="s">
        <v>1790</v>
      </c>
      <c r="I151" s="1"/>
      <c r="J151" s="120"/>
      <c r="K151" s="1"/>
      <c r="L151" s="3"/>
      <c r="M151" s="3"/>
      <c r="N151" s="1"/>
    </row>
    <row r="152" spans="1:14" hidden="1" x14ac:dyDescent="0.2">
      <c r="A152" s="1"/>
      <c r="B152" s="122"/>
      <c r="C152" s="129"/>
      <c r="D152" s="130"/>
      <c r="E152" s="133">
        <f>ABS(IF(D151=0,E151,0))</f>
        <v>0</v>
      </c>
      <c r="F152" s="100">
        <f>ABS(IF(D151=0,F151,0))</f>
        <v>0</v>
      </c>
      <c r="G152" s="100">
        <f>ABS(IF(D151=0,G151,0))</f>
        <v>0</v>
      </c>
      <c r="H152" s="553"/>
      <c r="I152" s="1"/>
      <c r="J152" s="120"/>
      <c r="K152" s="1"/>
      <c r="L152" s="3"/>
      <c r="M152" s="3"/>
      <c r="N152" s="1"/>
    </row>
    <row r="153" spans="1:14" hidden="1" x14ac:dyDescent="0.2">
      <c r="A153" s="1"/>
      <c r="B153" s="122"/>
      <c r="C153" s="129"/>
      <c r="D153" s="130"/>
      <c r="E153" s="131">
        <f>E151*D151</f>
        <v>0</v>
      </c>
      <c r="F153" s="42">
        <f>F151*D151</f>
        <v>0</v>
      </c>
      <c r="G153" s="146">
        <f>G151*D151</f>
        <v>0</v>
      </c>
      <c r="H153" s="553"/>
      <c r="I153" s="1"/>
      <c r="J153" s="120"/>
      <c r="K153" s="1"/>
      <c r="L153" s="3"/>
      <c r="M153" s="3"/>
      <c r="N153" s="1"/>
    </row>
    <row r="154" spans="1:14" x14ac:dyDescent="0.2">
      <c r="A154" s="1"/>
      <c r="B154" s="529" t="s">
        <v>2163</v>
      </c>
      <c r="C154" s="108" t="s">
        <v>962</v>
      </c>
      <c r="D154" s="144">
        <v>0</v>
      </c>
      <c r="E154" s="552">
        <v>0</v>
      </c>
      <c r="F154" s="98">
        <v>0</v>
      </c>
      <c r="G154" s="98">
        <v>0</v>
      </c>
      <c r="H154" s="553" t="s">
        <v>1791</v>
      </c>
      <c r="I154" s="1"/>
      <c r="J154" s="120"/>
      <c r="K154" s="1"/>
      <c r="L154" s="3"/>
      <c r="M154" s="3"/>
      <c r="N154" s="1"/>
    </row>
    <row r="155" spans="1:14" hidden="1" x14ac:dyDescent="0.2">
      <c r="A155" s="1"/>
      <c r="B155" s="122"/>
      <c r="C155" s="108"/>
      <c r="D155" s="132"/>
      <c r="E155" s="133">
        <f>ABS(IF(D154=0,E154,0))</f>
        <v>0</v>
      </c>
      <c r="F155" s="100">
        <f>ABS(IF(D154=0,F154,0))</f>
        <v>0</v>
      </c>
      <c r="G155" s="100">
        <f>ABS(IF(D154=0,G154,0))</f>
        <v>0</v>
      </c>
      <c r="H155" s="553"/>
      <c r="I155" s="1"/>
      <c r="J155" s="120"/>
      <c r="K155" s="1"/>
      <c r="L155" s="3"/>
      <c r="M155" s="3"/>
      <c r="N155" s="1"/>
    </row>
    <row r="156" spans="1:14" hidden="1" x14ac:dyDescent="0.2">
      <c r="A156" s="1"/>
      <c r="B156" s="122"/>
      <c r="C156" s="108"/>
      <c r="D156" s="132"/>
      <c r="E156" s="131">
        <f>E154*D154</f>
        <v>0</v>
      </c>
      <c r="F156" s="42">
        <f>F154*D154</f>
        <v>0</v>
      </c>
      <c r="G156" s="146">
        <f>G154*D154</f>
        <v>0</v>
      </c>
      <c r="H156" s="553"/>
      <c r="I156" s="1"/>
      <c r="J156" s="120"/>
      <c r="K156" s="1"/>
      <c r="L156" s="3"/>
      <c r="M156" s="3"/>
      <c r="N156" s="1"/>
    </row>
    <row r="157" spans="1:14" x14ac:dyDescent="0.2">
      <c r="A157" s="1"/>
      <c r="B157" s="122" t="s">
        <v>952</v>
      </c>
      <c r="C157" s="108" t="s">
        <v>963</v>
      </c>
      <c r="D157" s="144">
        <v>0</v>
      </c>
      <c r="E157" s="145">
        <v>0</v>
      </c>
      <c r="F157" s="98">
        <v>0</v>
      </c>
      <c r="G157" s="98">
        <v>0</v>
      </c>
      <c r="H157" s="553" t="s">
        <v>1792</v>
      </c>
      <c r="I157" s="1"/>
      <c r="J157" s="120"/>
      <c r="K157" s="1"/>
      <c r="L157" s="3"/>
      <c r="M157" s="3"/>
      <c r="N157" s="1"/>
    </row>
    <row r="158" spans="1:14" hidden="1" x14ac:dyDescent="0.2">
      <c r="A158" s="1"/>
      <c r="B158" s="122"/>
      <c r="C158" s="108"/>
      <c r="D158" s="132"/>
      <c r="E158" s="133">
        <f>ABS(IF(D157=0,E157,0))</f>
        <v>0</v>
      </c>
      <c r="F158" s="100">
        <f>ABS(IF(D157=0,F157,0))</f>
        <v>0</v>
      </c>
      <c r="G158" s="100">
        <f>ABS(IF(D157=0,G157,0))</f>
        <v>0</v>
      </c>
      <c r="H158" s="553"/>
      <c r="I158" s="1"/>
      <c r="J158" s="120"/>
      <c r="K158" s="1"/>
      <c r="L158" s="3"/>
      <c r="M158" s="3"/>
      <c r="N158" s="1"/>
    </row>
    <row r="159" spans="1:14" hidden="1" x14ac:dyDescent="0.2">
      <c r="A159" s="1"/>
      <c r="B159" s="122"/>
      <c r="C159" s="108"/>
      <c r="D159" s="132"/>
      <c r="E159" s="131">
        <f>E157*D157</f>
        <v>0</v>
      </c>
      <c r="F159" s="42">
        <f>F157*D157</f>
        <v>0</v>
      </c>
      <c r="G159" s="146">
        <f>G157*D157</f>
        <v>0</v>
      </c>
      <c r="H159" s="553"/>
      <c r="I159" s="1"/>
      <c r="J159" s="120"/>
      <c r="K159" s="1"/>
      <c r="L159" s="3"/>
      <c r="M159" s="3"/>
      <c r="N159" s="1"/>
    </row>
    <row r="160" spans="1:14" x14ac:dyDescent="0.2">
      <c r="A160" s="1"/>
      <c r="B160" s="529" t="s">
        <v>2165</v>
      </c>
      <c r="C160" s="108" t="s">
        <v>964</v>
      </c>
      <c r="D160" s="144">
        <v>0</v>
      </c>
      <c r="E160" s="145">
        <v>0</v>
      </c>
      <c r="F160" s="98">
        <v>0</v>
      </c>
      <c r="G160" s="98">
        <v>0</v>
      </c>
      <c r="H160" s="553" t="s">
        <v>1793</v>
      </c>
      <c r="I160" s="1"/>
      <c r="J160" s="120"/>
      <c r="K160" s="1"/>
      <c r="L160" s="3"/>
      <c r="M160" s="3"/>
      <c r="N160" s="1"/>
    </row>
    <row r="161" spans="1:14" hidden="1" x14ac:dyDescent="0.2">
      <c r="A161" s="1"/>
      <c r="B161" s="122"/>
      <c r="C161" s="108"/>
      <c r="D161" s="132"/>
      <c r="E161" s="133">
        <f>ABS(IF(D160=0,E160,0))</f>
        <v>0</v>
      </c>
      <c r="F161" s="100">
        <f>ABS(IF(D160=0,F160,0))</f>
        <v>0</v>
      </c>
      <c r="G161" s="100">
        <f>ABS(IF(D160=0,G160,0))</f>
        <v>0</v>
      </c>
      <c r="H161" s="554"/>
      <c r="I161" s="1"/>
      <c r="J161" s="120"/>
      <c r="K161" s="1"/>
      <c r="L161" s="3"/>
      <c r="M161" s="3"/>
      <c r="N161" s="1"/>
    </row>
    <row r="162" spans="1:14" hidden="1" x14ac:dyDescent="0.2">
      <c r="A162" s="1"/>
      <c r="B162" s="122"/>
      <c r="C162" s="108"/>
      <c r="D162" s="132"/>
      <c r="E162" s="131">
        <f>E160*D160</f>
        <v>0</v>
      </c>
      <c r="F162" s="42">
        <f>F160*D160</f>
        <v>0</v>
      </c>
      <c r="G162" s="146">
        <f>G160*D160</f>
        <v>0</v>
      </c>
      <c r="H162" s="554"/>
      <c r="I162" s="1"/>
      <c r="J162" s="120"/>
      <c r="K162" s="1"/>
      <c r="L162" s="3"/>
      <c r="M162" s="3"/>
      <c r="N162" s="1"/>
    </row>
    <row r="163" spans="1:14" x14ac:dyDescent="0.2">
      <c r="A163" s="1"/>
      <c r="B163" s="529" t="s">
        <v>2164</v>
      </c>
      <c r="C163" s="108" t="s">
        <v>968</v>
      </c>
      <c r="D163" s="144">
        <v>0</v>
      </c>
      <c r="E163" s="145">
        <v>0</v>
      </c>
      <c r="F163" s="98">
        <v>0</v>
      </c>
      <c r="G163" s="98">
        <v>0</v>
      </c>
      <c r="H163" s="554"/>
      <c r="I163" s="1"/>
      <c r="J163" s="120"/>
      <c r="K163" s="1"/>
      <c r="L163" s="3"/>
      <c r="M163" s="3"/>
      <c r="N163" s="1"/>
    </row>
    <row r="164" spans="1:14" hidden="1" x14ac:dyDescent="0.2">
      <c r="A164" s="1"/>
      <c r="B164" s="122"/>
      <c r="C164" s="62"/>
      <c r="D164" s="134"/>
      <c r="E164" s="133">
        <f>ABS(IF(D163=0,E163,0))</f>
        <v>0</v>
      </c>
      <c r="F164" s="100">
        <f>ABS(IF(D163=0,F163,0))</f>
        <v>0</v>
      </c>
      <c r="G164" s="100">
        <f>ABS(IF(D163=0,G163,0))</f>
        <v>0</v>
      </c>
      <c r="H164" s="1"/>
      <c r="I164" s="1"/>
      <c r="J164" s="120"/>
      <c r="K164" s="1"/>
      <c r="L164" s="3"/>
      <c r="M164" s="3"/>
      <c r="N164" s="1"/>
    </row>
    <row r="165" spans="1:14" hidden="1" x14ac:dyDescent="0.2">
      <c r="A165" s="1"/>
      <c r="B165" s="122"/>
      <c r="C165" s="62"/>
      <c r="D165" s="134"/>
      <c r="E165" s="131">
        <f>E163*D163</f>
        <v>0</v>
      </c>
      <c r="F165" s="42">
        <f>F163*D163</f>
        <v>0</v>
      </c>
      <c r="G165" s="146">
        <f>G163*D163</f>
        <v>0</v>
      </c>
      <c r="H165" s="1"/>
      <c r="I165" s="1"/>
      <c r="J165" s="120"/>
      <c r="K165" s="1"/>
      <c r="L165" s="3"/>
      <c r="M165" s="3"/>
      <c r="N165" s="1"/>
    </row>
    <row r="166" spans="1:14" ht="13.5" thickBot="1" x14ac:dyDescent="0.25">
      <c r="A166" s="1"/>
      <c r="B166" s="122" t="s">
        <v>969</v>
      </c>
      <c r="C166" s="62" t="s">
        <v>965</v>
      </c>
      <c r="D166" s="127" t="s">
        <v>973</v>
      </c>
      <c r="E166" s="128" t="s">
        <v>973</v>
      </c>
      <c r="F166" s="12" t="s">
        <v>974</v>
      </c>
      <c r="G166" s="12" t="s">
        <v>974</v>
      </c>
      <c r="H166" s="1"/>
      <c r="I166" s="1"/>
      <c r="J166" s="120"/>
      <c r="K166" s="1"/>
      <c r="L166" s="3"/>
      <c r="M166" s="3"/>
      <c r="N166" s="1"/>
    </row>
    <row r="167" spans="1:14" ht="13.5" thickTop="1" x14ac:dyDescent="0.2">
      <c r="A167" s="1"/>
      <c r="B167" s="550" t="s">
        <v>2673</v>
      </c>
      <c r="C167" s="137" t="s">
        <v>995</v>
      </c>
      <c r="D167" s="138" t="s">
        <v>972</v>
      </c>
      <c r="E167" s="126">
        <f>E152+E153+E155+E156+E158+E159+E161+E162+E164+E165</f>
        <v>0</v>
      </c>
      <c r="F167" s="126">
        <f>F152+F153+F155+F156+F158+F159+F161+F162+F164+F165</f>
        <v>0</v>
      </c>
      <c r="G167" s="126">
        <f>G152+G153+G155+G156+G158+G159+G161+G162+G164+G165</f>
        <v>0</v>
      </c>
      <c r="H167" s="1"/>
      <c r="I167" s="1"/>
      <c r="J167" s="120"/>
      <c r="K167" s="1"/>
      <c r="L167" s="3"/>
      <c r="M167" s="3"/>
      <c r="N167" s="1"/>
    </row>
    <row r="168" spans="1:14" x14ac:dyDescent="0.2">
      <c r="A168" s="1"/>
      <c r="B168" s="122" t="s">
        <v>970</v>
      </c>
      <c r="C168" s="6" t="s">
        <v>976</v>
      </c>
      <c r="D168" s="1"/>
      <c r="E168" s="3" t="str">
        <f>IF(C169=E167,"Keuze!","")</f>
        <v>Keuze!</v>
      </c>
      <c r="F168" s="3" t="str">
        <f>IF(C169=F167,"Keuze!","")</f>
        <v>Keuze!</v>
      </c>
      <c r="G168" s="3" t="str">
        <f>IF(C169=G167,"Keuze!","")</f>
        <v>Keuze!</v>
      </c>
      <c r="H168" s="1"/>
      <c r="I168" s="1"/>
      <c r="J168" s="120"/>
      <c r="K168" s="1"/>
      <c r="L168" s="3"/>
      <c r="M168" s="3"/>
      <c r="N168" s="1"/>
    </row>
    <row r="169" spans="1:14" x14ac:dyDescent="0.2">
      <c r="A169" s="1"/>
      <c r="B169" s="122" t="s">
        <v>975</v>
      </c>
      <c r="C169" s="5">
        <f>MAX(E167:G167)</f>
        <v>0</v>
      </c>
      <c r="D169" s="1"/>
      <c r="F169" s="1"/>
      <c r="H169" s="1"/>
      <c r="I169" s="1"/>
      <c r="J169" s="120"/>
      <c r="K169" s="1"/>
      <c r="L169" s="3"/>
      <c r="M169" s="3"/>
      <c r="N169" s="1"/>
    </row>
    <row r="170" spans="1:14" x14ac:dyDescent="0.2">
      <c r="A170" s="1"/>
      <c r="B170" s="123"/>
      <c r="C170" s="1"/>
      <c r="D170" s="1"/>
      <c r="E170" s="173" t="s">
        <v>1227</v>
      </c>
      <c r="F170" s="1"/>
      <c r="G170" s="1"/>
      <c r="H170" s="1"/>
      <c r="I170" s="1"/>
      <c r="J170" s="120"/>
      <c r="K170" s="1"/>
      <c r="L170" s="3"/>
      <c r="M170" s="3"/>
      <c r="N170" s="1"/>
    </row>
    <row r="171" spans="1:14" x14ac:dyDescent="0.2">
      <c r="A171" s="14"/>
      <c r="B171" s="14"/>
      <c r="C171" s="14"/>
      <c r="D171" s="14"/>
      <c r="E171" s="14"/>
      <c r="F171" s="14"/>
      <c r="G171" s="14"/>
      <c r="H171" s="14"/>
      <c r="I171" s="14"/>
      <c r="J171" s="1"/>
      <c r="K171" s="1"/>
      <c r="L171" s="3"/>
      <c r="M171" s="3"/>
      <c r="N171" s="1"/>
    </row>
    <row r="172" spans="1:14" x14ac:dyDescent="0.2">
      <c r="A172" s="1"/>
      <c r="B172" s="1"/>
      <c r="C172" s="1"/>
      <c r="D172" s="1"/>
      <c r="E172" s="1"/>
      <c r="F172" s="1"/>
      <c r="G172" s="1"/>
      <c r="H172" s="1"/>
      <c r="I172" s="1"/>
      <c r="J172" s="1"/>
      <c r="K172" s="1"/>
      <c r="L172" s="3"/>
      <c r="M172" s="3"/>
      <c r="N172" s="1"/>
    </row>
    <row r="173" spans="1:14" ht="26.25" thickBot="1" x14ac:dyDescent="0.25">
      <c r="A173" s="25" t="s">
        <v>1659</v>
      </c>
      <c r="B173" s="103" t="s">
        <v>2166</v>
      </c>
      <c r="C173" s="102" t="s">
        <v>446</v>
      </c>
      <c r="D173" s="102" t="s">
        <v>1623</v>
      </c>
      <c r="E173" s="526" t="s">
        <v>2119</v>
      </c>
      <c r="F173" s="527" t="s">
        <v>2120</v>
      </c>
      <c r="G173" s="1"/>
      <c r="H173" s="1"/>
      <c r="I173" s="1"/>
      <c r="J173" s="1"/>
      <c r="K173" s="1"/>
      <c r="L173" s="3"/>
      <c r="M173" s="3"/>
      <c r="N173" s="1"/>
    </row>
    <row r="174" spans="1:14" ht="13.5" thickTop="1" x14ac:dyDescent="0.2">
      <c r="A174" s="1"/>
      <c r="B174" s="1" t="s">
        <v>2167</v>
      </c>
      <c r="C174" s="56" t="s">
        <v>995</v>
      </c>
      <c r="D174" s="56" t="s">
        <v>995</v>
      </c>
      <c r="E174" s="56" t="s">
        <v>995</v>
      </c>
      <c r="F174" s="56" t="s">
        <v>995</v>
      </c>
      <c r="G174" s="1"/>
      <c r="H174" s="1"/>
      <c r="I174" s="1"/>
      <c r="J174" s="5" t="str">
        <f>IF(C174="x","FOUT","")</f>
        <v/>
      </c>
      <c r="K174" s="5">
        <f>ABS(IF(J174="JUIST","1","0"))</f>
        <v>0</v>
      </c>
      <c r="L174" s="3" t="s">
        <v>995</v>
      </c>
      <c r="M174" s="5" t="s">
        <v>25</v>
      </c>
      <c r="N174" s="1"/>
    </row>
    <row r="175" spans="1:14" x14ac:dyDescent="0.2">
      <c r="A175" s="1"/>
      <c r="B175" s="61" t="s">
        <v>2168</v>
      </c>
      <c r="C175" s="3" t="s">
        <v>475</v>
      </c>
      <c r="D175" s="3" t="s">
        <v>476</v>
      </c>
      <c r="E175" s="3" t="s">
        <v>477</v>
      </c>
      <c r="F175" s="3" t="s">
        <v>478</v>
      </c>
      <c r="G175" s="1"/>
      <c r="H175" s="1"/>
      <c r="I175" s="1"/>
      <c r="J175" s="5" t="str">
        <f>IF(D174="x","FOUT","")</f>
        <v/>
      </c>
      <c r="K175" s="5">
        <f>ABS(IF(J175="JUIST","1","0"))</f>
        <v>0</v>
      </c>
      <c r="L175" s="3">
        <v>1</v>
      </c>
      <c r="M175" s="5" t="s">
        <v>995</v>
      </c>
      <c r="N175" s="1"/>
    </row>
    <row r="176" spans="1:14" x14ac:dyDescent="0.2">
      <c r="A176" s="1"/>
      <c r="B176" s="1" t="s">
        <v>2620</v>
      </c>
      <c r="C176" s="1"/>
      <c r="D176" s="1"/>
      <c r="E176" s="1"/>
      <c r="F176" s="1"/>
      <c r="G176" s="1"/>
      <c r="H176" s="1"/>
      <c r="I176" s="1"/>
      <c r="J176" s="5" t="str">
        <f>IF(E174="x","JUIST","")</f>
        <v/>
      </c>
      <c r="K176" s="5">
        <f>ABS(IF(J176="JUIST","1","0"))</f>
        <v>0</v>
      </c>
      <c r="L176" s="3" t="s">
        <v>995</v>
      </c>
      <c r="M176" s="5">
        <v>0</v>
      </c>
      <c r="N176" s="1"/>
    </row>
    <row r="177" spans="1:14" x14ac:dyDescent="0.2">
      <c r="A177" s="1"/>
      <c r="B177" s="80" t="s">
        <v>333</v>
      </c>
      <c r="C177" s="1"/>
      <c r="D177" s="1"/>
      <c r="E177" s="1"/>
      <c r="F177" s="1"/>
      <c r="G177" s="1"/>
      <c r="H177" s="1"/>
      <c r="I177" s="1"/>
      <c r="J177" s="5" t="str">
        <f>IF(F174="x","FOUT","")</f>
        <v/>
      </c>
      <c r="K177" s="5">
        <f>ABS(IF(J177="JUIST","1","0"))</f>
        <v>0</v>
      </c>
      <c r="L177" s="3" t="s">
        <v>995</v>
      </c>
      <c r="M177" s="3"/>
      <c r="N177" s="1"/>
    </row>
    <row r="178" spans="1:14" x14ac:dyDescent="0.2">
      <c r="A178" s="1"/>
      <c r="B178" s="81" t="s">
        <v>895</v>
      </c>
      <c r="C178" s="1"/>
      <c r="D178" s="1"/>
      <c r="E178" s="1"/>
      <c r="F178" s="1"/>
      <c r="G178" s="1"/>
      <c r="H178" s="1"/>
      <c r="I178" s="1"/>
      <c r="J178" s="79" t="s">
        <v>995</v>
      </c>
      <c r="K178" s="1"/>
      <c r="L178" s="3"/>
      <c r="M178" s="3"/>
      <c r="N178" s="1"/>
    </row>
    <row r="179" spans="1:14" x14ac:dyDescent="0.2">
      <c r="A179" s="1"/>
      <c r="B179" s="1"/>
      <c r="C179" s="1"/>
      <c r="D179" s="1"/>
      <c r="E179" s="1"/>
      <c r="F179" s="1"/>
      <c r="G179" s="1"/>
      <c r="H179" s="1"/>
      <c r="I179" s="1"/>
      <c r="K179" s="1"/>
      <c r="L179" s="3"/>
      <c r="M179" s="3"/>
      <c r="N179" s="1"/>
    </row>
    <row r="180" spans="1:14" x14ac:dyDescent="0.2">
      <c r="A180" s="1"/>
      <c r="B180" s="82" t="s">
        <v>1033</v>
      </c>
      <c r="C180" s="318" t="s">
        <v>995</v>
      </c>
      <c r="D180" s="1"/>
      <c r="E180" s="1"/>
      <c r="F180" s="1"/>
      <c r="G180" s="1"/>
      <c r="H180" s="1"/>
      <c r="I180" s="1"/>
      <c r="J180" s="1"/>
      <c r="K180" s="1"/>
      <c r="L180" s="3"/>
      <c r="M180" s="3"/>
      <c r="N180" s="1"/>
    </row>
    <row r="181" spans="1:14" x14ac:dyDescent="0.2">
      <c r="A181" s="1"/>
      <c r="B181" s="52" t="str">
        <f>J181</f>
        <v/>
      </c>
      <c r="C181" s="1"/>
      <c r="D181" s="1"/>
      <c r="E181" s="1"/>
      <c r="F181" s="1"/>
      <c r="G181" s="1"/>
      <c r="H181" s="1"/>
      <c r="I181" s="1"/>
      <c r="J181" s="73" t="str">
        <f>IF(C180="x","Het juiste antwoord is: C","")</f>
        <v/>
      </c>
      <c r="K181" s="1"/>
      <c r="L181" s="3"/>
      <c r="M181" s="3"/>
      <c r="N181" s="1"/>
    </row>
    <row r="182" spans="1:14" x14ac:dyDescent="0.2">
      <c r="A182" s="1"/>
      <c r="B182" s="1"/>
      <c r="C182" s="1"/>
      <c r="D182" s="1"/>
      <c r="E182" s="1"/>
      <c r="F182" s="1"/>
      <c r="G182" s="1"/>
      <c r="H182" s="1"/>
      <c r="I182" s="1"/>
      <c r="J182" s="1"/>
      <c r="K182" s="1"/>
      <c r="L182" s="3"/>
      <c r="M182" s="3"/>
      <c r="N182" s="1"/>
    </row>
    <row r="183" spans="1:14" x14ac:dyDescent="0.2">
      <c r="A183" s="14"/>
      <c r="B183" s="14"/>
      <c r="C183" s="14"/>
      <c r="D183" s="14"/>
      <c r="E183" s="14"/>
      <c r="F183" s="14"/>
      <c r="G183" s="14"/>
      <c r="H183" s="14"/>
      <c r="I183" s="14"/>
      <c r="J183" s="1"/>
      <c r="K183" s="1"/>
      <c r="L183" s="3"/>
      <c r="M183" s="3"/>
      <c r="N183" s="1"/>
    </row>
    <row r="184" spans="1:14" x14ac:dyDescent="0.2">
      <c r="A184" s="1"/>
      <c r="B184" s="1"/>
      <c r="C184" s="1"/>
      <c r="D184" s="1"/>
      <c r="E184" s="1"/>
      <c r="F184" s="1"/>
      <c r="G184" s="1"/>
      <c r="H184" s="1"/>
      <c r="I184" s="1"/>
      <c r="J184" s="5" t="e">
        <f>SEARCH("a",D188)</f>
        <v>#VALUE!</v>
      </c>
      <c r="K184" s="1"/>
      <c r="L184" s="3"/>
      <c r="M184" s="3" t="s">
        <v>1093</v>
      </c>
      <c r="N184" s="1"/>
    </row>
    <row r="185" spans="1:14" x14ac:dyDescent="0.2">
      <c r="A185" s="1" t="s">
        <v>885</v>
      </c>
      <c r="B185" s="67" t="s">
        <v>2742</v>
      </c>
      <c r="C185" s="1"/>
      <c r="D185" s="1" t="s">
        <v>780</v>
      </c>
      <c r="E185" s="1"/>
      <c r="F185" s="1"/>
      <c r="G185" s="1"/>
      <c r="H185" s="1"/>
      <c r="I185" s="1"/>
      <c r="J185" s="5">
        <f>ABS(ISERR(J184))</f>
        <v>1</v>
      </c>
      <c r="K185" s="5">
        <f>ABS(IF(J185=0,"1","0"))</f>
        <v>0</v>
      </c>
      <c r="L185" s="3">
        <v>1</v>
      </c>
      <c r="M185" s="3" t="s">
        <v>1094</v>
      </c>
      <c r="N185" s="1"/>
    </row>
    <row r="186" spans="1:14" x14ac:dyDescent="0.2">
      <c r="A186" s="1"/>
      <c r="B186" s="67" t="s">
        <v>2743</v>
      </c>
      <c r="C186" s="1"/>
      <c r="D186" s="1" t="s">
        <v>781</v>
      </c>
      <c r="E186" s="1"/>
      <c r="F186" s="1" t="s">
        <v>778</v>
      </c>
      <c r="G186" s="1"/>
      <c r="H186" s="1"/>
      <c r="I186" s="1"/>
      <c r="J186" s="5" t="e">
        <f>SEARCH("Attain",F188)</f>
        <v>#VALUE!</v>
      </c>
      <c r="K186" s="1"/>
      <c r="L186" s="3"/>
      <c r="M186" s="420" t="s">
        <v>475</v>
      </c>
      <c r="N186" s="1"/>
    </row>
    <row r="187" spans="1:14" x14ac:dyDescent="0.2">
      <c r="A187" s="1"/>
      <c r="B187" t="s">
        <v>783</v>
      </c>
      <c r="C187" s="1"/>
      <c r="D187" t="s">
        <v>782</v>
      </c>
      <c r="E187" s="1"/>
      <c r="F187" s="1" t="s">
        <v>779</v>
      </c>
      <c r="G187" s="1"/>
      <c r="H187" s="1"/>
      <c r="I187" s="1"/>
      <c r="J187" s="5">
        <f>ABS(ISERR(J186))</f>
        <v>1</v>
      </c>
      <c r="K187" s="5">
        <f>ABS(IF(J187=0,"1","0"))</f>
        <v>0</v>
      </c>
      <c r="L187" s="3">
        <v>1</v>
      </c>
      <c r="M187" s="3" t="s">
        <v>1095</v>
      </c>
      <c r="N187" s="1"/>
    </row>
    <row r="188" spans="1:14" x14ac:dyDescent="0.2">
      <c r="A188" s="1"/>
      <c r="B188" s="1" t="s">
        <v>784</v>
      </c>
      <c r="C188" s="1"/>
      <c r="D188" s="10" t="s">
        <v>995</v>
      </c>
      <c r="E188" s="1"/>
      <c r="F188" s="10" t="s">
        <v>995</v>
      </c>
      <c r="G188" s="1"/>
      <c r="H188" s="1"/>
      <c r="I188" s="1"/>
      <c r="J188" s="1"/>
      <c r="K188" s="1"/>
      <c r="L188" s="3"/>
      <c r="M188" s="3" t="s">
        <v>1096</v>
      </c>
      <c r="N188" s="1"/>
    </row>
    <row r="189" spans="1:14" x14ac:dyDescent="0.2">
      <c r="A189" s="1"/>
      <c r="B189" s="504" t="s">
        <v>777</v>
      </c>
      <c r="C189" s="1"/>
      <c r="D189" s="421" t="s">
        <v>1779</v>
      </c>
      <c r="E189" s="1"/>
      <c r="F189" s="1"/>
      <c r="G189" s="1"/>
      <c r="H189" s="1"/>
      <c r="I189" s="1"/>
      <c r="J189" s="1"/>
      <c r="K189" s="1"/>
      <c r="L189" s="3"/>
      <c r="M189" s="3" t="s">
        <v>995</v>
      </c>
      <c r="N189" s="1"/>
    </row>
    <row r="190" spans="1:14" x14ac:dyDescent="0.2">
      <c r="A190" s="1"/>
      <c r="B190" s="81" t="s">
        <v>895</v>
      </c>
      <c r="C190" s="1"/>
      <c r="D190" s="422" t="s">
        <v>1780</v>
      </c>
      <c r="E190" s="1"/>
      <c r="F190" s="1"/>
      <c r="G190" s="1"/>
      <c r="H190" s="1"/>
      <c r="I190" s="1"/>
      <c r="J190" s="1"/>
      <c r="K190" s="1"/>
      <c r="L190" s="3"/>
      <c r="M190" s="3" t="s">
        <v>1097</v>
      </c>
      <c r="N190" s="1"/>
    </row>
    <row r="191" spans="1:14" x14ac:dyDescent="0.2">
      <c r="A191" s="1"/>
      <c r="B191" s="1"/>
      <c r="C191" s="1"/>
      <c r="D191" s="1"/>
      <c r="E191" s="1"/>
      <c r="F191" s="1"/>
      <c r="G191" s="1"/>
      <c r="H191" s="1"/>
      <c r="I191" s="1"/>
      <c r="J191" s="1"/>
      <c r="K191" s="1"/>
      <c r="L191" s="3"/>
      <c r="M191" s="3"/>
      <c r="N191" s="1"/>
    </row>
    <row r="192" spans="1:14" x14ac:dyDescent="0.2">
      <c r="A192" s="1"/>
      <c r="B192" s="82" t="s">
        <v>1033</v>
      </c>
      <c r="C192" s="318" t="s">
        <v>995</v>
      </c>
      <c r="D192" s="1"/>
      <c r="E192" s="1"/>
      <c r="F192" s="1"/>
      <c r="G192" s="1"/>
      <c r="H192" s="1"/>
      <c r="I192" s="1"/>
      <c r="J192" s="1"/>
      <c r="K192" s="1"/>
      <c r="L192" s="3"/>
      <c r="M192" s="3"/>
      <c r="N192" s="1"/>
    </row>
    <row r="193" spans="1:14" x14ac:dyDescent="0.2">
      <c r="A193" s="1"/>
      <c r="B193" s="52" t="str">
        <f>J193</f>
        <v/>
      </c>
      <c r="C193" s="1"/>
      <c r="D193" s="1"/>
      <c r="E193" s="1"/>
      <c r="F193" s="1"/>
      <c r="G193" s="1"/>
      <c r="H193" s="1"/>
      <c r="I193" s="1"/>
      <c r="J193" s="73" t="str">
        <f>IF(C192="x","Het juiste antwoord is: A van Attainable.","")</f>
        <v/>
      </c>
      <c r="K193" s="1"/>
      <c r="L193" s="3"/>
      <c r="M193" s="3"/>
      <c r="N193" s="1"/>
    </row>
    <row r="194" spans="1:14" x14ac:dyDescent="0.2">
      <c r="A194" s="1"/>
      <c r="B194" s="1"/>
      <c r="C194" s="1"/>
      <c r="D194" s="1"/>
      <c r="E194" s="1"/>
      <c r="F194" s="1"/>
      <c r="G194" s="1"/>
      <c r="H194" s="1"/>
      <c r="I194" s="1"/>
      <c r="J194" s="1"/>
      <c r="K194" s="1"/>
      <c r="L194" s="3"/>
      <c r="M194" s="3"/>
      <c r="N194" s="1"/>
    </row>
    <row r="195" spans="1:14" x14ac:dyDescent="0.2">
      <c r="A195" s="14"/>
      <c r="B195" s="14"/>
      <c r="C195" s="14"/>
      <c r="D195" s="14"/>
      <c r="E195" s="14"/>
      <c r="F195" s="14"/>
      <c r="G195" s="14"/>
      <c r="H195" s="14"/>
      <c r="I195" s="14"/>
      <c r="J195" s="1"/>
      <c r="K195" s="1"/>
      <c r="L195" s="3"/>
      <c r="M195" s="3"/>
      <c r="N195" s="1"/>
    </row>
    <row r="196" spans="1:14" x14ac:dyDescent="0.2">
      <c r="A196" s="1"/>
      <c r="B196" s="1"/>
      <c r="C196" s="1"/>
      <c r="D196" s="1"/>
      <c r="E196" s="1"/>
      <c r="F196" s="1"/>
      <c r="G196" s="1"/>
      <c r="H196" s="1"/>
      <c r="I196" s="1"/>
      <c r="J196" s="1"/>
      <c r="K196" s="1"/>
      <c r="L196" s="3"/>
      <c r="M196" s="3"/>
      <c r="N196" s="1"/>
    </row>
    <row r="197" spans="1:14" x14ac:dyDescent="0.2">
      <c r="A197" s="1" t="s">
        <v>897</v>
      </c>
      <c r="B197" s="1" t="s">
        <v>2169</v>
      </c>
      <c r="C197" s="1"/>
      <c r="D197" s="1" t="s">
        <v>793</v>
      </c>
      <c r="E197" s="1"/>
      <c r="F197" s="1"/>
      <c r="G197" s="1"/>
      <c r="H197" s="1"/>
      <c r="I197" s="1"/>
      <c r="J197" s="1"/>
      <c r="K197" s="1"/>
      <c r="L197" s="3"/>
      <c r="M197" s="5" t="s">
        <v>25</v>
      </c>
      <c r="N197" s="1" t="s">
        <v>995</v>
      </c>
    </row>
    <row r="198" spans="1:14" ht="13.5" thickBot="1" x14ac:dyDescent="0.25">
      <c r="A198" s="1"/>
      <c r="B198" s="1" t="s">
        <v>788</v>
      </c>
      <c r="C198" s="1"/>
      <c r="D198" s="1"/>
      <c r="E198" s="1"/>
      <c r="F198" s="1"/>
      <c r="G198" s="1"/>
      <c r="H198" s="1"/>
      <c r="I198" s="1"/>
      <c r="J198" s="1"/>
      <c r="K198" s="1"/>
      <c r="L198" s="3"/>
      <c r="M198" s="5" t="s">
        <v>995</v>
      </c>
      <c r="N198" s="224" t="s">
        <v>995</v>
      </c>
    </row>
    <row r="199" spans="1:14" ht="14.25" thickTop="1" thickBot="1" x14ac:dyDescent="0.25">
      <c r="A199" s="1"/>
      <c r="B199" s="1" t="s">
        <v>789</v>
      </c>
      <c r="C199" s="1"/>
      <c r="D199" s="118" t="s">
        <v>2173</v>
      </c>
      <c r="E199" s="116" t="s">
        <v>798</v>
      </c>
      <c r="F199" s="92" t="s">
        <v>799</v>
      </c>
      <c r="G199" s="92" t="s">
        <v>800</v>
      </c>
      <c r="H199" s="1"/>
      <c r="I199" s="1"/>
      <c r="J199" s="1"/>
      <c r="K199" s="1"/>
      <c r="L199" s="3"/>
      <c r="M199" s="5">
        <v>0</v>
      </c>
      <c r="N199" s="1" t="s">
        <v>995</v>
      </c>
    </row>
    <row r="200" spans="1:14" ht="13.5" thickTop="1" x14ac:dyDescent="0.2">
      <c r="A200" s="1"/>
      <c r="B200" s="1" t="s">
        <v>790</v>
      </c>
      <c r="C200" s="1"/>
      <c r="D200" s="117" t="s">
        <v>796</v>
      </c>
      <c r="E200" s="567" t="s">
        <v>995</v>
      </c>
      <c r="F200" s="567" t="s">
        <v>995</v>
      </c>
      <c r="G200" s="567" t="s">
        <v>995</v>
      </c>
      <c r="H200" s="45" t="str">
        <f>IF(J200="1","Geen punt te behalen.","")</f>
        <v/>
      </c>
      <c r="I200" s="1"/>
      <c r="J200" s="5" t="str">
        <f>IF(F200="x","1", "0")</f>
        <v>0</v>
      </c>
      <c r="K200" s="1"/>
      <c r="L200" s="3"/>
      <c r="M200" s="3"/>
      <c r="N200" s="1" t="s">
        <v>995</v>
      </c>
    </row>
    <row r="201" spans="1:14" x14ac:dyDescent="0.2">
      <c r="A201" s="1"/>
      <c r="B201" s="1" t="s">
        <v>2170</v>
      </c>
      <c r="C201" s="1"/>
      <c r="D201" s="113" t="s">
        <v>795</v>
      </c>
      <c r="E201" s="567" t="s">
        <v>995</v>
      </c>
      <c r="F201" s="567" t="s">
        <v>995</v>
      </c>
      <c r="G201" s="567" t="s">
        <v>995</v>
      </c>
      <c r="H201" s="45" t="str">
        <f>IF(J201="1","Geen punt te behalen.","")</f>
        <v/>
      </c>
      <c r="I201" s="1"/>
      <c r="J201" s="5" t="str">
        <f>IF(F201="x","1", "0")</f>
        <v>0</v>
      </c>
      <c r="K201" s="1"/>
      <c r="L201" s="3"/>
      <c r="M201" s="3"/>
      <c r="N201" s="1"/>
    </row>
    <row r="202" spans="1:14" x14ac:dyDescent="0.2">
      <c r="A202" s="1"/>
      <c r="B202" s="1" t="s">
        <v>791</v>
      </c>
      <c r="C202" s="1"/>
      <c r="D202" s="530" t="s">
        <v>396</v>
      </c>
      <c r="E202" s="1" t="s">
        <v>801</v>
      </c>
      <c r="F202" s="1"/>
      <c r="G202" s="1"/>
      <c r="H202" s="1"/>
      <c r="I202" s="1"/>
      <c r="J202" s="1"/>
      <c r="K202" s="1"/>
      <c r="L202" s="3"/>
      <c r="M202" s="3"/>
      <c r="N202" s="1"/>
    </row>
    <row r="203" spans="1:14" x14ac:dyDescent="0.2">
      <c r="A203" s="1"/>
      <c r="B203" s="1" t="s">
        <v>2171</v>
      </c>
      <c r="C203" s="1"/>
      <c r="D203" s="113" t="s">
        <v>794</v>
      </c>
      <c r="E203" s="115" t="s">
        <v>995</v>
      </c>
      <c r="F203" s="115" t="s">
        <v>995</v>
      </c>
      <c r="G203" s="115" t="s">
        <v>995</v>
      </c>
      <c r="H203" s="3" t="str">
        <f>IF(J203="1","Punt!","")</f>
        <v/>
      </c>
      <c r="I203" s="1"/>
      <c r="J203" s="5" t="str">
        <f>IF(E203="x","1", "0")</f>
        <v>0</v>
      </c>
      <c r="K203" s="5">
        <f>ABS(IF(J203="1","1","0"))</f>
        <v>0</v>
      </c>
      <c r="L203" s="3">
        <v>1</v>
      </c>
      <c r="M203" s="3"/>
      <c r="N203" s="1"/>
    </row>
    <row r="204" spans="1:14" x14ac:dyDescent="0.2">
      <c r="A204" s="1"/>
      <c r="B204" s="1" t="s">
        <v>792</v>
      </c>
      <c r="C204" s="1"/>
      <c r="D204" s="113" t="s">
        <v>797</v>
      </c>
      <c r="E204" s="115" t="s">
        <v>995</v>
      </c>
      <c r="F204" s="115" t="s">
        <v>995</v>
      </c>
      <c r="G204" s="114" t="s">
        <v>995</v>
      </c>
      <c r="H204" s="3" t="str">
        <f>IF(J204="1","Punt!","")</f>
        <v/>
      </c>
      <c r="I204" s="1"/>
      <c r="J204" s="5" t="str">
        <f>IF(G204="x","1", "")</f>
        <v/>
      </c>
      <c r="K204" s="5">
        <f>ABS(IF(J204="1","1","0"))</f>
        <v>0</v>
      </c>
      <c r="L204" s="3">
        <v>1</v>
      </c>
      <c r="M204" s="3"/>
      <c r="N204" s="1"/>
    </row>
    <row r="205" spans="1:14" ht="13.5" thickBot="1" x14ac:dyDescent="0.25">
      <c r="A205" s="1"/>
      <c r="B205" s="1" t="s">
        <v>2172</v>
      </c>
      <c r="C205" s="1"/>
      <c r="D205" s="1"/>
      <c r="E205" s="1"/>
      <c r="F205" s="1"/>
      <c r="G205" s="1"/>
      <c r="H205" s="1"/>
      <c r="I205" s="1"/>
      <c r="J205" s="1"/>
      <c r="K205" s="1"/>
      <c r="L205" s="3"/>
      <c r="M205" s="3"/>
      <c r="N205" s="1"/>
    </row>
    <row r="206" spans="1:14" ht="14.25" thickTop="1" thickBot="1" x14ac:dyDescent="0.25">
      <c r="A206" s="1"/>
      <c r="B206" s="1"/>
      <c r="C206" s="1"/>
      <c r="D206" s="118" t="s">
        <v>2174</v>
      </c>
      <c r="E206" s="116" t="s">
        <v>798</v>
      </c>
      <c r="F206" s="92" t="s">
        <v>799</v>
      </c>
      <c r="G206" s="92" t="s">
        <v>800</v>
      </c>
      <c r="H206" s="1"/>
      <c r="I206" s="1"/>
      <c r="J206" s="1"/>
      <c r="K206" s="1"/>
      <c r="L206" s="3"/>
      <c r="M206" s="3"/>
      <c r="N206" s="1"/>
    </row>
    <row r="207" spans="1:14" ht="13.5" thickTop="1" x14ac:dyDescent="0.2">
      <c r="A207" s="1" t="s">
        <v>995</v>
      </c>
      <c r="B207" s="1" t="s">
        <v>2175</v>
      </c>
      <c r="C207" s="1"/>
      <c r="D207" s="117" t="s">
        <v>796</v>
      </c>
      <c r="E207" s="114" t="s">
        <v>995</v>
      </c>
      <c r="F207" s="114" t="s">
        <v>995</v>
      </c>
      <c r="G207" s="114" t="s">
        <v>995</v>
      </c>
      <c r="H207" s="45" t="str">
        <f>IF(J207="1","Geen punt te behalen.","")</f>
        <v/>
      </c>
      <c r="I207" s="1"/>
      <c r="J207" s="5" t="str">
        <f>IF(G207="x","1", "0")</f>
        <v>0</v>
      </c>
      <c r="K207" s="1"/>
      <c r="L207" s="3"/>
      <c r="M207" s="3"/>
      <c r="N207" s="1"/>
    </row>
    <row r="208" spans="1:14" x14ac:dyDescent="0.2">
      <c r="A208" s="54" t="s">
        <v>999</v>
      </c>
      <c r="B208" s="54" t="s">
        <v>2177</v>
      </c>
      <c r="C208" s="1"/>
      <c r="D208" s="113" t="s">
        <v>795</v>
      </c>
      <c r="E208" s="114" t="s">
        <v>995</v>
      </c>
      <c r="F208" s="115" t="s">
        <v>995</v>
      </c>
      <c r="G208" s="114" t="s">
        <v>995</v>
      </c>
      <c r="H208" s="3" t="str">
        <f>IF(J208="1","Punt!","")</f>
        <v/>
      </c>
      <c r="I208" s="1"/>
      <c r="J208" s="5" t="str">
        <f>IF(G208="x","1", "")</f>
        <v/>
      </c>
      <c r="K208" s="5">
        <f>ABS(IF(J208="1","1","0"))</f>
        <v>0</v>
      </c>
      <c r="L208" s="3">
        <v>1</v>
      </c>
      <c r="M208" s="3"/>
      <c r="N208" s="1"/>
    </row>
    <row r="209" spans="1:14" x14ac:dyDescent="0.2">
      <c r="A209" s="55"/>
      <c r="B209" s="55" t="s">
        <v>2176</v>
      </c>
      <c r="C209" s="1"/>
      <c r="D209" s="530" t="s">
        <v>396</v>
      </c>
      <c r="E209" s="1" t="s">
        <v>801</v>
      </c>
      <c r="F209" s="1"/>
      <c r="G209" s="1"/>
      <c r="H209" s="1"/>
      <c r="I209" s="1"/>
      <c r="J209" s="1"/>
      <c r="K209" s="1"/>
      <c r="L209" s="3"/>
      <c r="M209" s="3"/>
      <c r="N209" s="1"/>
    </row>
    <row r="210" spans="1:14" x14ac:dyDescent="0.2">
      <c r="A210" s="55"/>
      <c r="B210" s="55" t="s">
        <v>786</v>
      </c>
      <c r="C210" s="1"/>
      <c r="D210" s="113" t="s">
        <v>794</v>
      </c>
      <c r="E210" s="213" t="s">
        <v>995</v>
      </c>
      <c r="F210" s="115" t="s">
        <v>995</v>
      </c>
      <c r="G210" s="10" t="s">
        <v>995</v>
      </c>
      <c r="H210" s="3" t="str">
        <f>IF(J210="1","Punt!","")</f>
        <v/>
      </c>
      <c r="I210" s="1"/>
      <c r="J210" s="5" t="str">
        <f>IF(G210="x","1", "")</f>
        <v/>
      </c>
      <c r="K210" s="5">
        <f>ABS(IF(J210="1","1","0"))</f>
        <v>0</v>
      </c>
      <c r="L210" s="3">
        <v>1</v>
      </c>
      <c r="M210" s="3"/>
      <c r="N210" s="1"/>
    </row>
    <row r="211" spans="1:14" x14ac:dyDescent="0.2">
      <c r="A211" s="28"/>
      <c r="B211" s="28" t="s">
        <v>787</v>
      </c>
      <c r="C211" s="1"/>
      <c r="D211" s="113" t="s">
        <v>797</v>
      </c>
      <c r="E211" s="115" t="s">
        <v>995</v>
      </c>
      <c r="F211" s="115" t="s">
        <v>995</v>
      </c>
      <c r="G211" s="115" t="s">
        <v>995</v>
      </c>
      <c r="H211" s="3" t="str">
        <f>IF(J211="1","Punt!","")</f>
        <v/>
      </c>
      <c r="I211" s="1"/>
      <c r="J211" s="5" t="str">
        <f>IF(E211="x","1", "")</f>
        <v/>
      </c>
      <c r="K211" s="5">
        <f>ABS(IF(J211="1","1","0"))</f>
        <v>0</v>
      </c>
      <c r="L211" s="3">
        <v>1</v>
      </c>
      <c r="M211" s="3"/>
      <c r="N211" s="1"/>
    </row>
    <row r="212" spans="1:14" x14ac:dyDescent="0.2">
      <c r="A212" s="54" t="s">
        <v>1000</v>
      </c>
      <c r="B212" s="54" t="s">
        <v>2178</v>
      </c>
      <c r="C212" s="1"/>
      <c r="D212" s="1"/>
      <c r="E212" s="1"/>
      <c r="F212" s="1"/>
      <c r="G212" s="1"/>
      <c r="H212" s="1"/>
      <c r="I212" s="1"/>
      <c r="J212" s="1"/>
      <c r="K212" s="1"/>
      <c r="L212" s="3"/>
      <c r="M212" s="3"/>
      <c r="N212" s="1"/>
    </row>
    <row r="213" spans="1:14" x14ac:dyDescent="0.2">
      <c r="A213" s="55"/>
      <c r="B213" s="55" t="s">
        <v>802</v>
      </c>
      <c r="C213" s="1"/>
      <c r="D213" s="1"/>
      <c r="E213" s="1"/>
      <c r="F213" s="1"/>
      <c r="G213" s="1"/>
      <c r="H213" s="1"/>
      <c r="I213" s="1"/>
      <c r="J213" s="1"/>
      <c r="K213" s="1"/>
      <c r="L213" s="3"/>
      <c r="M213" s="3"/>
      <c r="N213" s="1"/>
    </row>
    <row r="214" spans="1:14" x14ac:dyDescent="0.2">
      <c r="A214" s="28"/>
      <c r="B214" s="28" t="s">
        <v>803</v>
      </c>
      <c r="C214" s="1"/>
      <c r="D214" s="1"/>
      <c r="E214" s="1"/>
      <c r="F214" s="1"/>
      <c r="G214" s="1"/>
      <c r="H214" s="1"/>
      <c r="I214" s="1"/>
      <c r="J214" s="1"/>
      <c r="K214" s="1"/>
      <c r="L214" s="3"/>
      <c r="M214" s="3"/>
      <c r="N214" s="1"/>
    </row>
    <row r="215" spans="1:14" x14ac:dyDescent="0.2">
      <c r="A215" s="1"/>
      <c r="B215" s="1"/>
      <c r="C215" s="1"/>
      <c r="D215" s="1"/>
      <c r="E215" s="1"/>
      <c r="F215" s="1"/>
      <c r="G215" s="1"/>
      <c r="H215" s="1"/>
      <c r="I215" s="1"/>
      <c r="J215" s="1"/>
      <c r="K215" s="1"/>
      <c r="L215" s="3"/>
      <c r="M215" s="3"/>
      <c r="N215" s="1"/>
    </row>
    <row r="216" spans="1:14" x14ac:dyDescent="0.2">
      <c r="A216" s="1"/>
      <c r="B216" s="81" t="s">
        <v>2179</v>
      </c>
      <c r="C216" s="1"/>
      <c r="D216" s="1"/>
      <c r="E216" s="1"/>
      <c r="F216" s="1"/>
      <c r="G216" s="1"/>
      <c r="H216" s="1"/>
      <c r="I216" s="1"/>
      <c r="J216" s="1"/>
      <c r="K216" s="1"/>
      <c r="L216" s="3"/>
      <c r="M216" s="3"/>
      <c r="N216" s="1"/>
    </row>
    <row r="217" spans="1:14" x14ac:dyDescent="0.2">
      <c r="A217" s="1"/>
      <c r="B217" s="81" t="s">
        <v>609</v>
      </c>
      <c r="C217" s="1"/>
      <c r="D217" s="1"/>
      <c r="E217" s="1"/>
      <c r="F217" s="1"/>
      <c r="G217" s="1"/>
      <c r="H217" s="1"/>
      <c r="I217" s="1"/>
      <c r="J217" s="1"/>
      <c r="K217" s="1"/>
      <c r="L217" s="3"/>
      <c r="M217" s="3"/>
      <c r="N217" s="1"/>
    </row>
    <row r="218" spans="1:14" x14ac:dyDescent="0.2">
      <c r="A218" s="1"/>
      <c r="B218" s="81" t="s">
        <v>2180</v>
      </c>
      <c r="C218" s="1"/>
      <c r="D218" s="1"/>
      <c r="E218" s="1"/>
      <c r="F218" s="1"/>
      <c r="G218" s="1"/>
      <c r="H218" s="1"/>
      <c r="I218" s="1"/>
      <c r="J218" s="1"/>
      <c r="K218" s="1"/>
      <c r="L218" s="3"/>
      <c r="M218" s="3"/>
      <c r="N218" s="1"/>
    </row>
    <row r="219" spans="1:14" x14ac:dyDescent="0.2">
      <c r="A219" s="1"/>
      <c r="B219" s="81" t="s">
        <v>2181</v>
      </c>
      <c r="C219" s="1"/>
      <c r="D219" s="1"/>
      <c r="E219" s="1"/>
      <c r="F219" s="1"/>
      <c r="G219" s="1"/>
      <c r="H219" s="1"/>
      <c r="I219" s="1"/>
      <c r="J219" s="1"/>
      <c r="K219" s="1"/>
      <c r="L219" s="3"/>
      <c r="M219" s="3"/>
      <c r="N219" s="1"/>
    </row>
    <row r="220" spans="1:14" x14ac:dyDescent="0.2">
      <c r="A220" s="1"/>
      <c r="B220" s="1"/>
      <c r="C220" s="1"/>
      <c r="D220" s="1"/>
      <c r="E220" s="1"/>
      <c r="F220" s="1"/>
      <c r="G220" s="1"/>
      <c r="H220" s="1"/>
      <c r="I220" s="1"/>
      <c r="J220" s="1"/>
      <c r="K220" s="1"/>
      <c r="L220" s="3"/>
      <c r="M220" s="3"/>
      <c r="N220" s="1"/>
    </row>
    <row r="221" spans="1:14" x14ac:dyDescent="0.2">
      <c r="A221" s="1"/>
      <c r="B221" s="82" t="s">
        <v>948</v>
      </c>
      <c r="C221" s="318" t="s">
        <v>995</v>
      </c>
      <c r="D221" s="1"/>
      <c r="E221" s="1"/>
      <c r="F221" s="1"/>
      <c r="G221" s="1"/>
      <c r="H221" s="1"/>
      <c r="I221" s="1"/>
      <c r="J221" s="1"/>
      <c r="K221" s="1"/>
      <c r="L221" s="3"/>
      <c r="M221" s="3"/>
      <c r="N221" s="1"/>
    </row>
    <row r="222" spans="1:14" ht="29.1" customHeight="1" x14ac:dyDescent="0.2">
      <c r="A222" s="1"/>
      <c r="B222" s="2" t="str">
        <f>IF(C221="x",J222,"")</f>
        <v/>
      </c>
      <c r="C222" s="1"/>
      <c r="D222" s="1"/>
      <c r="E222" s="1"/>
      <c r="F222" s="1"/>
      <c r="G222" s="1"/>
      <c r="H222" s="1"/>
      <c r="I222" s="1"/>
      <c r="J222" s="1" t="s">
        <v>393</v>
      </c>
      <c r="K222" s="1"/>
      <c r="L222" s="3"/>
      <c r="M222" s="3"/>
      <c r="N222" s="1"/>
    </row>
    <row r="223" spans="1:14" ht="26.45" customHeight="1" x14ac:dyDescent="0.2">
      <c r="A223" s="1"/>
      <c r="B223" s="2" t="str">
        <f>IF(C221="x",J223,"")</f>
        <v/>
      </c>
      <c r="C223" s="1"/>
      <c r="D223" s="1"/>
      <c r="E223" s="1"/>
      <c r="F223" s="1"/>
      <c r="G223" s="1"/>
      <c r="H223" s="1"/>
      <c r="I223" s="1"/>
      <c r="J223" s="1" t="s">
        <v>394</v>
      </c>
      <c r="K223" s="1"/>
      <c r="L223" s="3"/>
      <c r="M223" s="3"/>
      <c r="N223" s="1"/>
    </row>
    <row r="224" spans="1:14" x14ac:dyDescent="0.2">
      <c r="A224" s="1"/>
      <c r="B224" s="1"/>
      <c r="C224" s="1"/>
      <c r="D224" s="1"/>
      <c r="E224" s="1"/>
      <c r="F224" s="1"/>
      <c r="G224" s="1"/>
      <c r="H224" s="1"/>
      <c r="I224" s="1"/>
      <c r="J224" s="1"/>
      <c r="K224" s="1"/>
      <c r="L224" s="3"/>
      <c r="M224" s="3"/>
      <c r="N224" s="1"/>
    </row>
    <row r="225" spans="1:14" x14ac:dyDescent="0.2">
      <c r="A225" s="14"/>
      <c r="B225" s="14"/>
      <c r="C225" s="14"/>
      <c r="D225" s="14"/>
      <c r="E225" s="14"/>
      <c r="F225" s="14"/>
      <c r="G225" s="14"/>
      <c r="H225" s="14"/>
      <c r="I225" s="14"/>
      <c r="J225" s="1"/>
      <c r="K225" s="1"/>
      <c r="L225" s="3"/>
      <c r="M225" s="3"/>
      <c r="N225" s="1"/>
    </row>
    <row r="226" spans="1:14" x14ac:dyDescent="0.2">
      <c r="A226" s="1"/>
      <c r="B226" s="1"/>
      <c r="C226" s="1"/>
      <c r="D226" s="1"/>
      <c r="E226" s="1"/>
      <c r="F226" s="1"/>
      <c r="G226" s="1"/>
      <c r="H226" s="1"/>
      <c r="I226" s="1"/>
      <c r="J226" s="5" t="e">
        <f>SEARCH("GAP",F229)</f>
        <v>#VALUE!</v>
      </c>
      <c r="K226" s="1"/>
      <c r="L226" s="3"/>
      <c r="M226" s="3"/>
      <c r="N226" s="1"/>
    </row>
    <row r="227" spans="1:14" x14ac:dyDescent="0.2">
      <c r="A227" s="1" t="s">
        <v>907</v>
      </c>
      <c r="B227" s="1" t="s">
        <v>2182</v>
      </c>
      <c r="C227" s="1"/>
      <c r="D227" s="1" t="s">
        <v>636</v>
      </c>
      <c r="E227" s="1"/>
      <c r="F227" s="1"/>
      <c r="G227" s="1"/>
      <c r="H227" s="1"/>
      <c r="I227" s="1"/>
      <c r="J227" s="5">
        <f>ABS(ISERR(J226))</f>
        <v>1</v>
      </c>
      <c r="K227" s="5">
        <f>ABS(IF(J227=0,"1","0"))</f>
        <v>0</v>
      </c>
      <c r="L227" s="3">
        <v>1</v>
      </c>
      <c r="M227" s="3"/>
      <c r="N227" s="1"/>
    </row>
    <row r="228" spans="1:14" x14ac:dyDescent="0.2">
      <c r="A228" s="1"/>
      <c r="B228" s="1" t="s">
        <v>635</v>
      </c>
      <c r="C228" s="1"/>
      <c r="D228" s="1"/>
      <c r="E228" s="1"/>
      <c r="F228" s="1"/>
      <c r="G228" s="1"/>
      <c r="H228" s="1"/>
      <c r="I228" s="1"/>
      <c r="J228" s="1"/>
      <c r="K228" s="1"/>
      <c r="L228" s="3"/>
      <c r="M228" s="3"/>
      <c r="N228" s="1"/>
    </row>
    <row r="229" spans="1:14" x14ac:dyDescent="0.2">
      <c r="A229" s="1"/>
      <c r="B229" s="1" t="s">
        <v>634</v>
      </c>
      <c r="C229" s="1"/>
      <c r="D229" s="1"/>
      <c r="E229" s="1" t="s">
        <v>638</v>
      </c>
      <c r="F229" s="10" t="s">
        <v>995</v>
      </c>
      <c r="G229" s="1"/>
      <c r="H229" s="1"/>
      <c r="I229" s="1"/>
      <c r="J229" s="1"/>
      <c r="K229" s="1"/>
      <c r="L229" s="3"/>
      <c r="M229" s="3"/>
      <c r="N229" s="1"/>
    </row>
    <row r="230" spans="1:14" x14ac:dyDescent="0.2">
      <c r="A230" s="1"/>
      <c r="B230" s="81" t="s">
        <v>895</v>
      </c>
      <c r="C230" s="1"/>
      <c r="D230" s="1" t="s">
        <v>995</v>
      </c>
      <c r="E230" s="1"/>
      <c r="F230" s="88" t="str">
        <f>IF(C233="x",J230,"")</f>
        <v/>
      </c>
      <c r="G230" s="1"/>
      <c r="H230" s="1"/>
      <c r="I230" s="1"/>
      <c r="J230" s="5" t="s">
        <v>639</v>
      </c>
      <c r="K230" s="1"/>
      <c r="L230" s="3"/>
      <c r="M230" s="3"/>
      <c r="N230" s="1"/>
    </row>
    <row r="231" spans="1:14" x14ac:dyDescent="0.2">
      <c r="A231" s="1"/>
      <c r="B231" s="1"/>
      <c r="C231" s="1"/>
      <c r="D231" s="1" t="s">
        <v>637</v>
      </c>
      <c r="E231" s="1"/>
      <c r="F231" s="1"/>
      <c r="G231" s="1"/>
      <c r="H231" s="1"/>
      <c r="I231" s="1"/>
      <c r="J231" s="1"/>
      <c r="K231" s="1"/>
      <c r="L231" s="3"/>
      <c r="M231" s="3"/>
      <c r="N231" s="1"/>
    </row>
    <row r="232" spans="1:14" x14ac:dyDescent="0.2">
      <c r="A232" s="1"/>
      <c r="B232" s="1"/>
      <c r="C232" s="1"/>
      <c r="D232" s="1"/>
      <c r="E232" s="1"/>
      <c r="F232" s="1"/>
      <c r="G232" s="1"/>
      <c r="H232" s="1"/>
      <c r="I232" s="1"/>
      <c r="J232" s="1"/>
      <c r="K232" s="1"/>
      <c r="L232" s="3"/>
      <c r="M232" s="3"/>
      <c r="N232" s="1"/>
    </row>
    <row r="233" spans="1:14" x14ac:dyDescent="0.2">
      <c r="A233" s="1"/>
      <c r="B233" s="82" t="s">
        <v>2183</v>
      </c>
      <c r="C233" s="318" t="s">
        <v>995</v>
      </c>
      <c r="D233" s="1"/>
      <c r="E233" s="1"/>
      <c r="F233" s="1"/>
      <c r="G233" s="1"/>
      <c r="H233" s="1"/>
      <c r="I233" s="1"/>
      <c r="J233" s="1"/>
      <c r="K233" s="1"/>
      <c r="L233" s="3"/>
      <c r="M233" s="3"/>
      <c r="N233" s="1"/>
    </row>
    <row r="234" spans="1:14" x14ac:dyDescent="0.2">
      <c r="A234" s="1"/>
      <c r="B234" s="1"/>
      <c r="C234" s="1"/>
      <c r="D234" s="1"/>
      <c r="E234" s="1"/>
      <c r="F234" s="1"/>
      <c r="G234" s="1"/>
      <c r="H234" s="1"/>
      <c r="I234" s="1"/>
      <c r="J234" s="1"/>
      <c r="K234" s="1"/>
      <c r="L234" s="3"/>
      <c r="M234" s="3"/>
      <c r="N234" s="1"/>
    </row>
    <row r="235" spans="1:14" x14ac:dyDescent="0.2">
      <c r="A235" s="14"/>
      <c r="B235" s="14"/>
      <c r="C235" s="14"/>
      <c r="D235" s="14"/>
      <c r="E235" s="14"/>
      <c r="F235" s="14"/>
      <c r="G235" s="14"/>
      <c r="H235" s="14"/>
      <c r="I235" s="14"/>
      <c r="J235" s="1"/>
      <c r="K235" s="1"/>
      <c r="L235" s="3"/>
      <c r="M235" s="3"/>
      <c r="N235" s="1"/>
    </row>
    <row r="236" spans="1:14" x14ac:dyDescent="0.2">
      <c r="A236" s="1"/>
      <c r="B236" s="1"/>
      <c r="C236" s="1"/>
      <c r="D236" s="1"/>
      <c r="E236" s="1"/>
      <c r="F236" s="1"/>
      <c r="G236" s="1"/>
      <c r="H236" s="1"/>
      <c r="I236" s="1"/>
      <c r="J236" s="5" t="e">
        <f>SEARCH("begrip",B257)</f>
        <v>#VALUE!</v>
      </c>
      <c r="K236" s="1"/>
      <c r="L236" s="3"/>
      <c r="M236" s="3"/>
      <c r="N236" s="1"/>
    </row>
    <row r="237" spans="1:14" x14ac:dyDescent="0.2">
      <c r="A237" s="1" t="s">
        <v>1256</v>
      </c>
      <c r="B237" s="1" t="s">
        <v>2184</v>
      </c>
      <c r="C237" s="1"/>
      <c r="D237" s="1"/>
      <c r="E237" s="1"/>
      <c r="F237" s="1"/>
      <c r="G237" s="1"/>
      <c r="H237" s="1"/>
      <c r="I237" s="1"/>
      <c r="J237" s="5">
        <f>ABS(ISERR(J236))</f>
        <v>1</v>
      </c>
      <c r="K237" s="5">
        <f>ABS(IF(J237=0,"1","0"))</f>
        <v>0</v>
      </c>
      <c r="L237" s="3">
        <v>1</v>
      </c>
      <c r="M237" s="3"/>
      <c r="N237" s="1"/>
    </row>
    <row r="238" spans="1:14" x14ac:dyDescent="0.2">
      <c r="A238" s="1"/>
      <c r="B238" s="67" t="s">
        <v>2674</v>
      </c>
      <c r="C238" s="1"/>
      <c r="D238" s="1"/>
      <c r="E238" s="1"/>
      <c r="F238" s="1"/>
      <c r="G238" s="1"/>
      <c r="H238" s="1"/>
      <c r="I238" s="1"/>
      <c r="J238" s="5" t="e">
        <f>SEARCH("besef",B257)</f>
        <v>#VALUE!</v>
      </c>
      <c r="K238" s="1"/>
      <c r="L238" s="3"/>
      <c r="M238" s="3"/>
      <c r="N238" s="1"/>
    </row>
    <row r="239" spans="1:14" x14ac:dyDescent="0.2">
      <c r="A239" s="1"/>
      <c r="B239" s="1" t="s">
        <v>640</v>
      </c>
      <c r="C239" s="1"/>
      <c r="D239" s="1"/>
      <c r="E239" s="1"/>
      <c r="F239" s="1"/>
      <c r="G239" s="1"/>
      <c r="H239" s="1"/>
      <c r="I239" s="1"/>
      <c r="J239" s="5">
        <f>ABS(ISERR(J238))</f>
        <v>1</v>
      </c>
      <c r="K239" s="5">
        <f>ABS(IF(J239=0,"1","0"))</f>
        <v>0</v>
      </c>
      <c r="L239" s="3"/>
      <c r="M239" s="3"/>
      <c r="N239" s="1"/>
    </row>
    <row r="240" spans="1:14" x14ac:dyDescent="0.2">
      <c r="A240" s="1"/>
      <c r="B240" s="1" t="s">
        <v>641</v>
      </c>
      <c r="C240" s="1"/>
      <c r="D240" s="1"/>
      <c r="E240" s="1"/>
      <c r="F240" s="1"/>
      <c r="G240" s="1"/>
      <c r="H240" s="1"/>
      <c r="I240" s="1"/>
      <c r="J240" s="5" t="e">
        <f>SEARCH("inzicht",B257)</f>
        <v>#VALUE!</v>
      </c>
      <c r="K240" s="1"/>
      <c r="L240" s="3"/>
      <c r="M240" s="3"/>
      <c r="N240" s="1"/>
    </row>
    <row r="241" spans="1:14" x14ac:dyDescent="0.2">
      <c r="A241" s="1"/>
      <c r="B241" s="1" t="s">
        <v>642</v>
      </c>
      <c r="C241" s="1"/>
      <c r="D241" s="1"/>
      <c r="E241" s="1"/>
      <c r="F241" s="1"/>
      <c r="G241" s="1"/>
      <c r="H241" s="1"/>
      <c r="I241" s="1"/>
      <c r="J241" s="5">
        <f>ABS(ISERR(J240))</f>
        <v>1</v>
      </c>
      <c r="K241" s="5">
        <f>ABS(IF(J241=0,"1","0"))</f>
        <v>0</v>
      </c>
      <c r="L241" s="3"/>
      <c r="M241" s="3"/>
      <c r="N241" s="1"/>
    </row>
    <row r="242" spans="1:14" x14ac:dyDescent="0.2">
      <c r="A242" s="1"/>
      <c r="B242" s="1" t="s">
        <v>643</v>
      </c>
      <c r="C242" s="1"/>
      <c r="D242" s="1"/>
      <c r="E242" s="1"/>
      <c r="F242" s="1"/>
      <c r="G242" s="1"/>
      <c r="H242" s="1"/>
      <c r="I242" s="1"/>
      <c r="J242" s="5" t="e">
        <f>SEARCH("flexibel",B257)</f>
        <v>#VALUE!</v>
      </c>
      <c r="K242" s="1"/>
      <c r="L242" s="3"/>
      <c r="M242" s="3"/>
      <c r="N242" s="1"/>
    </row>
    <row r="243" spans="1:14" x14ac:dyDescent="0.2">
      <c r="A243" s="1"/>
      <c r="B243" s="1" t="s">
        <v>644</v>
      </c>
      <c r="C243" s="1"/>
      <c r="D243" s="1"/>
      <c r="E243" s="1"/>
      <c r="F243" s="1"/>
      <c r="G243" s="1"/>
      <c r="H243" s="1"/>
      <c r="I243" s="1"/>
      <c r="J243" s="5">
        <f>ABS(ISERR(J242))</f>
        <v>1</v>
      </c>
      <c r="K243" s="5">
        <f>ABS(IF(J243=0,"1","0"))</f>
        <v>0</v>
      </c>
      <c r="L243" s="3"/>
      <c r="M243" s="3"/>
      <c r="N243" s="1"/>
    </row>
    <row r="244" spans="1:14" x14ac:dyDescent="0.2">
      <c r="A244" s="1"/>
      <c r="B244" s="1" t="s">
        <v>2185</v>
      </c>
      <c r="C244" s="1"/>
      <c r="D244" s="1"/>
      <c r="E244" s="1"/>
      <c r="F244" s="1"/>
      <c r="G244" s="1"/>
      <c r="H244" s="1"/>
      <c r="I244" s="1"/>
      <c r="J244" s="1"/>
      <c r="K244" s="1"/>
      <c r="L244" s="3"/>
      <c r="M244" s="3"/>
      <c r="N244" s="1"/>
    </row>
    <row r="245" spans="1:14" x14ac:dyDescent="0.2">
      <c r="A245" s="1"/>
      <c r="B245" s="1" t="s">
        <v>754</v>
      </c>
      <c r="C245" s="1"/>
      <c r="D245" s="54" t="s">
        <v>764</v>
      </c>
      <c r="E245" s="1"/>
      <c r="G245" s="1"/>
      <c r="H245" s="1"/>
      <c r="I245" s="1"/>
      <c r="J245" s="1"/>
      <c r="K245" s="1"/>
      <c r="L245" s="3"/>
      <c r="M245" s="3"/>
      <c r="N245" s="1"/>
    </row>
    <row r="246" spans="1:14" x14ac:dyDescent="0.2">
      <c r="A246" s="1"/>
      <c r="B246" s="1" t="s">
        <v>755</v>
      </c>
      <c r="C246" s="1"/>
      <c r="D246" s="55" t="s">
        <v>765</v>
      </c>
      <c r="E246" s="1"/>
      <c r="F246" s="1"/>
      <c r="G246" s="1"/>
      <c r="H246" s="1"/>
      <c r="I246" s="1"/>
      <c r="J246" s="1"/>
      <c r="K246" s="1"/>
      <c r="L246" s="3"/>
      <c r="M246" s="3"/>
      <c r="N246" s="1"/>
    </row>
    <row r="247" spans="1:14" x14ac:dyDescent="0.2">
      <c r="A247" s="1"/>
      <c r="B247" s="1" t="s">
        <v>756</v>
      </c>
      <c r="C247" s="1"/>
      <c r="D247" s="55" t="s">
        <v>766</v>
      </c>
      <c r="E247" s="1"/>
      <c r="F247" s="1"/>
      <c r="G247" s="1"/>
      <c r="H247" s="1"/>
      <c r="I247" s="1"/>
      <c r="J247" s="1"/>
      <c r="K247" s="1"/>
      <c r="L247" s="3"/>
      <c r="M247" s="3"/>
      <c r="N247" s="1"/>
    </row>
    <row r="248" spans="1:14" x14ac:dyDescent="0.2">
      <c r="A248" s="1"/>
      <c r="B248" s="1" t="s">
        <v>757</v>
      </c>
      <c r="C248" s="1"/>
      <c r="D248" s="28" t="s">
        <v>767</v>
      </c>
      <c r="E248" s="1"/>
      <c r="F248" s="1"/>
      <c r="G248" s="1"/>
      <c r="H248" s="1"/>
      <c r="I248" s="1"/>
      <c r="J248" s="1"/>
      <c r="K248" s="1"/>
      <c r="L248" s="3"/>
      <c r="M248" s="3"/>
      <c r="N248" s="1"/>
    </row>
    <row r="249" spans="1:14" x14ac:dyDescent="0.2">
      <c r="A249" s="1"/>
      <c r="B249" s="1" t="s">
        <v>758</v>
      </c>
      <c r="C249" s="1"/>
      <c r="D249" s="318" t="s">
        <v>995</v>
      </c>
      <c r="E249" s="1"/>
      <c r="F249" s="1"/>
      <c r="G249" s="1"/>
      <c r="H249" s="1"/>
      <c r="I249" s="1"/>
      <c r="J249" s="1"/>
      <c r="K249" s="1"/>
      <c r="L249" s="3"/>
      <c r="M249" s="3"/>
      <c r="N249" s="1"/>
    </row>
    <row r="250" spans="1:14" x14ac:dyDescent="0.2">
      <c r="A250" s="1"/>
      <c r="B250" s="1" t="s">
        <v>759</v>
      </c>
      <c r="C250" s="1"/>
      <c r="D250" s="1"/>
      <c r="E250" s="1"/>
      <c r="F250" s="1"/>
      <c r="G250" s="1"/>
      <c r="H250" s="1"/>
      <c r="I250" s="1"/>
      <c r="J250" s="1"/>
      <c r="K250" s="1"/>
      <c r="L250" s="3"/>
      <c r="M250" s="3"/>
      <c r="N250" s="1"/>
    </row>
    <row r="251" spans="1:14" x14ac:dyDescent="0.2">
      <c r="A251" s="1"/>
      <c r="B251" s="1" t="s">
        <v>760</v>
      </c>
      <c r="C251" s="1"/>
      <c r="D251" s="1"/>
      <c r="E251" s="1"/>
      <c r="F251" s="1"/>
      <c r="G251" s="1"/>
      <c r="H251" s="1"/>
      <c r="I251" s="1"/>
      <c r="J251" s="1"/>
      <c r="K251" s="1"/>
      <c r="L251" s="3"/>
      <c r="M251" s="3"/>
      <c r="N251" s="1"/>
    </row>
    <row r="252" spans="1:14" x14ac:dyDescent="0.2">
      <c r="A252" s="1" t="s">
        <v>995</v>
      </c>
      <c r="B252" s="1" t="s">
        <v>761</v>
      </c>
      <c r="C252" s="79"/>
      <c r="D252" s="79"/>
      <c r="E252" s="79"/>
      <c r="F252" s="18"/>
      <c r="G252" s="18"/>
      <c r="H252" s="1"/>
      <c r="I252" s="1"/>
      <c r="J252" s="1"/>
      <c r="K252" s="1"/>
      <c r="L252" s="3"/>
      <c r="M252" s="3"/>
      <c r="N252" s="1"/>
    </row>
    <row r="253" spans="1:14" x14ac:dyDescent="0.2">
      <c r="A253" s="25" t="s">
        <v>995</v>
      </c>
      <c r="B253" s="147" t="s">
        <v>2186</v>
      </c>
      <c r="C253" s="148"/>
      <c r="D253" s="148"/>
      <c r="E253" s="148"/>
      <c r="F253" s="148"/>
      <c r="G253" s="148"/>
      <c r="H253" s="1"/>
      <c r="I253" s="1"/>
      <c r="J253" s="1"/>
      <c r="K253" s="1"/>
      <c r="L253" s="3"/>
      <c r="M253" s="3"/>
      <c r="N253" s="1"/>
    </row>
    <row r="254" spans="1:14" x14ac:dyDescent="0.2">
      <c r="A254" s="1"/>
      <c r="B254" s="81" t="s">
        <v>762</v>
      </c>
      <c r="C254" s="1"/>
      <c r="D254" s="1"/>
      <c r="E254" s="1"/>
      <c r="F254" s="1"/>
      <c r="G254" s="1"/>
      <c r="H254" s="1"/>
      <c r="I254" s="1"/>
      <c r="J254" s="1"/>
      <c r="K254" s="1"/>
      <c r="L254" s="3"/>
      <c r="M254" s="3"/>
      <c r="N254" s="1"/>
    </row>
    <row r="255" spans="1:14" x14ac:dyDescent="0.2">
      <c r="A255" s="1"/>
      <c r="B255" s="81" t="s">
        <v>763</v>
      </c>
      <c r="C255" s="1"/>
      <c r="D255" s="1"/>
      <c r="E255" s="1"/>
      <c r="F255" s="1"/>
      <c r="G255" s="1"/>
      <c r="H255" s="1"/>
      <c r="I255" s="1"/>
      <c r="J255" s="1"/>
      <c r="K255" s="1"/>
      <c r="L255" s="3"/>
      <c r="M255" s="3"/>
      <c r="N255" s="1"/>
    </row>
    <row r="256" spans="1:14" x14ac:dyDescent="0.2">
      <c r="A256" s="1"/>
      <c r="B256" s="1"/>
      <c r="C256" s="1"/>
      <c r="D256" s="1"/>
      <c r="E256" s="1"/>
      <c r="F256" s="1"/>
      <c r="G256" s="1"/>
      <c r="H256" s="1"/>
      <c r="I256" s="1"/>
      <c r="J256" s="1"/>
      <c r="K256" s="1"/>
      <c r="L256" s="3"/>
      <c r="M256" s="3"/>
      <c r="N256" s="1"/>
    </row>
    <row r="257" spans="1:14" ht="63.6" customHeight="1" x14ac:dyDescent="0.2">
      <c r="A257" s="1"/>
      <c r="B257" s="149" t="s">
        <v>995</v>
      </c>
      <c r="C257" s="1"/>
      <c r="D257" s="1"/>
      <c r="E257" s="1"/>
      <c r="F257" s="240" t="s">
        <v>1226</v>
      </c>
      <c r="G257" s="1"/>
      <c r="H257" s="1"/>
      <c r="I257" s="1"/>
      <c r="J257" s="1"/>
      <c r="K257" s="1"/>
      <c r="L257" s="3"/>
      <c r="M257" s="3"/>
      <c r="N257" s="1"/>
    </row>
    <row r="258" spans="1:14" ht="39.6" customHeight="1" x14ac:dyDescent="0.2">
      <c r="A258" s="1"/>
      <c r="B258" s="2" t="str">
        <f>IF(D249="x",J258,"")</f>
        <v/>
      </c>
      <c r="C258" s="1"/>
      <c r="D258" s="1"/>
      <c r="E258" s="1"/>
      <c r="F258" s="1"/>
      <c r="G258" s="1"/>
      <c r="H258" s="1"/>
      <c r="I258" s="1"/>
      <c r="J258" s="1" t="s">
        <v>768</v>
      </c>
      <c r="K258" s="1"/>
      <c r="L258" s="3"/>
      <c r="M258" s="3"/>
      <c r="N258" s="1"/>
    </row>
    <row r="259" spans="1:14" x14ac:dyDescent="0.2">
      <c r="A259" s="14"/>
      <c r="B259" s="14"/>
      <c r="C259" s="14"/>
      <c r="D259" s="14"/>
      <c r="E259" s="14"/>
      <c r="F259" s="14"/>
      <c r="G259" s="14"/>
      <c r="H259" s="14"/>
      <c r="I259" s="14"/>
      <c r="J259" s="1"/>
      <c r="K259" s="1"/>
      <c r="L259" s="3"/>
      <c r="M259" s="3"/>
      <c r="N259" s="1"/>
    </row>
    <row r="260" spans="1:14" ht="13.5" thickBot="1" x14ac:dyDescent="0.25">
      <c r="A260" s="1"/>
      <c r="B260" s="1"/>
      <c r="C260" s="1"/>
      <c r="D260" s="1"/>
      <c r="E260" s="1"/>
      <c r="F260" s="1"/>
      <c r="G260" s="1"/>
      <c r="H260" s="1"/>
      <c r="I260" s="1"/>
      <c r="J260" s="1"/>
      <c r="K260" s="1"/>
      <c r="L260" s="3"/>
      <c r="M260" s="3"/>
      <c r="N260" s="1"/>
    </row>
    <row r="261" spans="1:14" ht="14.25" thickTop="1" thickBot="1" x14ac:dyDescent="0.25">
      <c r="A261" s="1" t="s">
        <v>1262</v>
      </c>
      <c r="B261" s="1" t="s">
        <v>536</v>
      </c>
      <c r="C261" s="1"/>
      <c r="D261" s="1"/>
      <c r="E261" s="151" t="s">
        <v>769</v>
      </c>
      <c r="F261" s="1"/>
      <c r="G261" s="151" t="s">
        <v>770</v>
      </c>
      <c r="H261" s="1"/>
      <c r="I261" s="1"/>
      <c r="J261" s="3" t="s">
        <v>571</v>
      </c>
      <c r="K261" s="1"/>
      <c r="L261" s="3"/>
      <c r="M261" s="3"/>
      <c r="N261" s="1"/>
    </row>
    <row r="262" spans="1:14" ht="13.5" thickTop="1" x14ac:dyDescent="0.2">
      <c r="A262" s="1"/>
      <c r="B262" s="1" t="s">
        <v>562</v>
      </c>
      <c r="C262" s="1"/>
      <c r="D262" s="1"/>
      <c r="E262" s="150" t="s">
        <v>509</v>
      </c>
      <c r="F262" s="152" t="s">
        <v>995</v>
      </c>
      <c r="G262" s="150" t="s">
        <v>513</v>
      </c>
      <c r="H262" s="115" t="s">
        <v>995</v>
      </c>
      <c r="I262" s="1"/>
      <c r="J262" s="5" t="str">
        <f>IF(F266="x","1", "")</f>
        <v/>
      </c>
      <c r="K262" s="5">
        <f>ABS(IF(J262="1","1","0"))</f>
        <v>0</v>
      </c>
      <c r="L262" s="3">
        <v>1</v>
      </c>
      <c r="M262" s="3"/>
      <c r="N262" s="1"/>
    </row>
    <row r="263" spans="1:14" x14ac:dyDescent="0.2">
      <c r="A263" s="1"/>
      <c r="B263" s="1" t="s">
        <v>537</v>
      </c>
      <c r="C263" s="1"/>
      <c r="D263" s="1"/>
      <c r="E263" s="6" t="s">
        <v>510</v>
      </c>
      <c r="F263" s="152" t="s">
        <v>995</v>
      </c>
      <c r="G263" s="6" t="s">
        <v>514</v>
      </c>
      <c r="H263" s="115" t="s">
        <v>995</v>
      </c>
      <c r="I263" s="1"/>
      <c r="J263" s="5" t="str">
        <f>IF(F275="x","1", "")</f>
        <v/>
      </c>
      <c r="K263" s="5">
        <f t="shared" ref="K263:K268" si="0">ABS(IF(J263="1","1","0"))</f>
        <v>0</v>
      </c>
      <c r="L263" s="3">
        <v>1</v>
      </c>
      <c r="M263" s="3"/>
      <c r="N263" s="1"/>
    </row>
    <row r="264" spans="1:14" x14ac:dyDescent="0.2">
      <c r="A264" s="1"/>
      <c r="B264" s="1" t="s">
        <v>538</v>
      </c>
      <c r="C264" s="1"/>
      <c r="D264" s="1"/>
      <c r="E264" s="6" t="s">
        <v>511</v>
      </c>
      <c r="F264" s="152" t="s">
        <v>995</v>
      </c>
      <c r="G264" s="6" t="s">
        <v>515</v>
      </c>
      <c r="H264" s="115" t="s">
        <v>995</v>
      </c>
      <c r="I264" s="1"/>
      <c r="J264" s="155" t="s">
        <v>572</v>
      </c>
      <c r="K264" s="155" t="s">
        <v>995</v>
      </c>
      <c r="L264" s="3" t="s">
        <v>995</v>
      </c>
      <c r="M264" s="3"/>
      <c r="N264" s="1"/>
    </row>
    <row r="265" spans="1:14" x14ac:dyDescent="0.2">
      <c r="A265" s="1"/>
      <c r="B265" s="1" t="s">
        <v>541</v>
      </c>
      <c r="C265" s="1"/>
      <c r="D265" s="1"/>
      <c r="E265" s="54" t="s">
        <v>512</v>
      </c>
      <c r="F265" s="407"/>
      <c r="G265" s="6" t="s">
        <v>544</v>
      </c>
      <c r="H265" s="115" t="s">
        <v>995</v>
      </c>
      <c r="I265" s="1"/>
      <c r="J265" s="5" t="str">
        <f>IF(H264="x","1", "")</f>
        <v/>
      </c>
      <c r="K265" s="5">
        <f t="shared" si="0"/>
        <v>0</v>
      </c>
      <c r="L265" s="3">
        <v>1</v>
      </c>
      <c r="M265" s="3"/>
      <c r="N265" s="1"/>
    </row>
    <row r="266" spans="1:14" x14ac:dyDescent="0.2">
      <c r="A266" s="1"/>
      <c r="B266" s="1" t="s">
        <v>542</v>
      </c>
      <c r="C266" s="1"/>
      <c r="D266" s="1"/>
      <c r="E266" s="28" t="s">
        <v>508</v>
      </c>
      <c r="F266" s="152" t="s">
        <v>995</v>
      </c>
      <c r="G266" s="6" t="s">
        <v>517</v>
      </c>
      <c r="H266" s="115" t="s">
        <v>995</v>
      </c>
      <c r="I266" s="1"/>
      <c r="J266" s="5" t="str">
        <f>IF(H265="x","1", "")</f>
        <v/>
      </c>
      <c r="K266" s="5">
        <f t="shared" si="0"/>
        <v>0</v>
      </c>
      <c r="L266" s="3">
        <v>1</v>
      </c>
      <c r="M266" s="3"/>
      <c r="N266" s="1"/>
    </row>
    <row r="267" spans="1:14" x14ac:dyDescent="0.2">
      <c r="A267" s="1"/>
      <c r="B267" s="1" t="s">
        <v>543</v>
      </c>
      <c r="C267" s="1"/>
      <c r="D267" s="1"/>
      <c r="E267" s="6" t="s">
        <v>516</v>
      </c>
      <c r="F267" s="152" t="s">
        <v>995</v>
      </c>
      <c r="G267" s="6" t="s">
        <v>518</v>
      </c>
      <c r="H267" s="115" t="s">
        <v>995</v>
      </c>
      <c r="I267" s="1"/>
      <c r="J267" s="5" t="str">
        <f>IF(H267="x","1", "")</f>
        <v/>
      </c>
      <c r="K267" s="5">
        <f t="shared" si="0"/>
        <v>0</v>
      </c>
      <c r="L267" s="3">
        <v>1</v>
      </c>
      <c r="M267" s="3"/>
      <c r="N267" s="1"/>
    </row>
    <row r="268" spans="1:14" x14ac:dyDescent="0.2">
      <c r="A268" s="1"/>
      <c r="B268" s="1" t="s">
        <v>2187</v>
      </c>
      <c r="C268" s="1"/>
      <c r="D268" s="1"/>
      <c r="E268" s="6" t="s">
        <v>521</v>
      </c>
      <c r="F268" s="152" t="s">
        <v>995</v>
      </c>
      <c r="G268" s="54" t="s">
        <v>519</v>
      </c>
      <c r="H268" s="407"/>
      <c r="I268" s="1"/>
      <c r="J268" s="12" t="str">
        <f>IF(H275="x","1", "")</f>
        <v/>
      </c>
      <c r="K268" s="12">
        <f t="shared" si="0"/>
        <v>0</v>
      </c>
      <c r="L268" s="3">
        <v>1</v>
      </c>
      <c r="M268" s="3"/>
      <c r="N268" s="1"/>
    </row>
    <row r="269" spans="1:14" x14ac:dyDescent="0.2">
      <c r="A269" s="1"/>
      <c r="B269" s="1" t="s">
        <v>568</v>
      </c>
      <c r="C269" s="1"/>
      <c r="D269" s="1"/>
      <c r="E269" s="54" t="s">
        <v>522</v>
      </c>
      <c r="F269" s="407"/>
      <c r="G269" s="28" t="s">
        <v>520</v>
      </c>
      <c r="H269" s="115" t="s">
        <v>995</v>
      </c>
      <c r="I269" s="1"/>
      <c r="J269" s="48"/>
      <c r="K269" s="48"/>
      <c r="L269" s="79"/>
      <c r="M269" s="79"/>
      <c r="N269" s="1"/>
    </row>
    <row r="270" spans="1:14" x14ac:dyDescent="0.2">
      <c r="A270" s="1"/>
      <c r="B270" s="1" t="s">
        <v>569</v>
      </c>
      <c r="C270" s="1"/>
      <c r="D270" s="1"/>
      <c r="E270" s="28" t="s">
        <v>523</v>
      </c>
      <c r="F270" s="152" t="s">
        <v>995</v>
      </c>
      <c r="G270" s="6" t="s">
        <v>524</v>
      </c>
      <c r="H270" s="115" t="s">
        <v>995</v>
      </c>
      <c r="I270" s="1"/>
      <c r="J270" s="79"/>
      <c r="K270" s="79"/>
      <c r="L270" s="79"/>
      <c r="M270" s="79"/>
      <c r="N270" s="1"/>
    </row>
    <row r="271" spans="1:14" x14ac:dyDescent="0.2">
      <c r="A271" s="1"/>
      <c r="B271" s="1" t="s">
        <v>570</v>
      </c>
      <c r="C271" s="1"/>
      <c r="D271" s="1"/>
      <c r="E271" s="54" t="s">
        <v>525</v>
      </c>
      <c r="F271" s="407"/>
      <c r="G271" s="6" t="s">
        <v>530</v>
      </c>
      <c r="H271" s="115" t="s">
        <v>995</v>
      </c>
      <c r="I271" s="1"/>
      <c r="J271" s="1"/>
      <c r="K271" s="1"/>
      <c r="L271" s="3"/>
      <c r="M271" s="3"/>
      <c r="N271" s="1"/>
    </row>
    <row r="272" spans="1:14" x14ac:dyDescent="0.2">
      <c r="A272" s="1"/>
      <c r="B272" s="81" t="s">
        <v>539</v>
      </c>
      <c r="C272" s="1"/>
      <c r="D272" s="1"/>
      <c r="E272" s="28" t="s">
        <v>526</v>
      </c>
      <c r="F272" s="152" t="s">
        <v>995</v>
      </c>
      <c r="G272" s="54" t="s">
        <v>531</v>
      </c>
      <c r="H272" s="407"/>
      <c r="I272" s="1"/>
      <c r="J272" s="1"/>
      <c r="K272" s="1"/>
      <c r="L272" s="3"/>
      <c r="M272" s="3"/>
      <c r="N272" s="1"/>
    </row>
    <row r="273" spans="1:14" x14ac:dyDescent="0.2">
      <c r="A273" s="1"/>
      <c r="B273" s="82" t="s">
        <v>948</v>
      </c>
      <c r="C273" s="318" t="s">
        <v>995</v>
      </c>
      <c r="D273" s="1"/>
      <c r="E273" s="54" t="s">
        <v>528</v>
      </c>
      <c r="F273" s="407"/>
      <c r="G273" s="28" t="s">
        <v>532</v>
      </c>
      <c r="H273" s="115" t="s">
        <v>995</v>
      </c>
      <c r="I273" s="1"/>
      <c r="J273" s="1"/>
      <c r="K273" s="1"/>
      <c r="L273" s="3"/>
      <c r="M273" s="3"/>
      <c r="N273" s="1"/>
    </row>
    <row r="274" spans="1:14" ht="13.5" thickBot="1" x14ac:dyDescent="0.25">
      <c r="A274" s="1"/>
      <c r="B274" s="81" t="s">
        <v>2188</v>
      </c>
      <c r="C274" s="1"/>
      <c r="D274" s="1"/>
      <c r="E274" s="28" t="s">
        <v>529</v>
      </c>
      <c r="F274" s="152" t="s">
        <v>995</v>
      </c>
      <c r="G274" s="6" t="s">
        <v>533</v>
      </c>
      <c r="H274" s="115" t="s">
        <v>995</v>
      </c>
      <c r="I274" s="1"/>
      <c r="J274" s="1"/>
      <c r="K274" s="1"/>
      <c r="L274" s="3"/>
      <c r="M274" s="3"/>
      <c r="N274" s="1"/>
    </row>
    <row r="275" spans="1:14" ht="14.25" thickTop="1" thickBot="1" x14ac:dyDescent="0.25">
      <c r="A275" s="1"/>
      <c r="B275" s="81" t="s">
        <v>575</v>
      </c>
      <c r="C275" s="555" t="s">
        <v>2675</v>
      </c>
      <c r="D275" s="1"/>
      <c r="E275" s="6" t="s">
        <v>534</v>
      </c>
      <c r="F275" s="152" t="s">
        <v>995</v>
      </c>
      <c r="G275" s="6" t="s">
        <v>535</v>
      </c>
      <c r="H275" s="115" t="s">
        <v>995</v>
      </c>
      <c r="I275" s="1"/>
      <c r="J275" s="1" t="s">
        <v>573</v>
      </c>
      <c r="K275" s="1"/>
      <c r="L275" s="3"/>
      <c r="M275" s="3"/>
      <c r="N275" s="1"/>
    </row>
    <row r="276" spans="1:14" ht="13.5" thickTop="1" x14ac:dyDescent="0.2">
      <c r="A276" s="1"/>
      <c r="B276" s="1"/>
      <c r="C276" s="156" t="s">
        <v>540</v>
      </c>
      <c r="D276" s="407"/>
      <c r="E276" s="62"/>
      <c r="F276" s="63"/>
      <c r="G276" s="62"/>
      <c r="H276" s="63"/>
      <c r="I276" s="1"/>
      <c r="J276" s="5" t="str">
        <f>IF(D277="x","1", "")</f>
        <v/>
      </c>
      <c r="K276" s="5">
        <f>ABS(IF(J276="1","1","0"))</f>
        <v>0</v>
      </c>
      <c r="L276" s="3">
        <v>1</v>
      </c>
      <c r="M276" s="3"/>
      <c r="N276" s="1"/>
    </row>
    <row r="277" spans="1:14" x14ac:dyDescent="0.2">
      <c r="A277" s="1"/>
      <c r="B277" s="1"/>
      <c r="C277" s="28" t="s">
        <v>523</v>
      </c>
      <c r="D277" s="115" t="s">
        <v>995</v>
      </c>
      <c r="E277" s="59"/>
      <c r="F277" s="135"/>
      <c r="G277" s="59"/>
      <c r="H277" s="135"/>
      <c r="I277" s="1"/>
      <c r="J277" s="5" t="str">
        <f>IF(D281="x","1", "")</f>
        <v/>
      </c>
      <c r="K277" s="5">
        <f>ABS(IF(J277="1","1","0"))</f>
        <v>0</v>
      </c>
      <c r="L277" s="3">
        <v>1</v>
      </c>
      <c r="M277" s="3"/>
      <c r="N277" s="1"/>
    </row>
    <row r="278" spans="1:14" x14ac:dyDescent="0.2">
      <c r="A278" s="1"/>
      <c r="B278" s="162" t="str">
        <f>IF(C273="x","ad Strenghts:","")</f>
        <v/>
      </c>
      <c r="C278" s="6" t="s">
        <v>551</v>
      </c>
      <c r="D278" s="115" t="s">
        <v>995</v>
      </c>
      <c r="E278" s="59"/>
      <c r="F278" s="135"/>
      <c r="G278" s="59"/>
      <c r="H278" s="135"/>
      <c r="I278" s="1"/>
      <c r="J278" s="5" t="str">
        <f>IF(D284="x","1", "")</f>
        <v/>
      </c>
      <c r="K278" s="5">
        <f>ABS(IF(J278="1","1","0"))</f>
        <v>0</v>
      </c>
      <c r="L278" s="3">
        <v>1</v>
      </c>
      <c r="M278" s="3"/>
      <c r="N278" s="1"/>
    </row>
    <row r="279" spans="1:14" x14ac:dyDescent="0.2">
      <c r="A279" s="1"/>
      <c r="B279" s="65" t="str">
        <f>IF(C273="x",E265,"")</f>
        <v/>
      </c>
      <c r="C279" s="6" t="s">
        <v>546</v>
      </c>
      <c r="D279" s="115" t="s">
        <v>995</v>
      </c>
      <c r="E279" s="59"/>
      <c r="F279" s="135"/>
      <c r="G279" s="59"/>
      <c r="H279" s="135"/>
      <c r="I279" s="1"/>
      <c r="J279" s="5" t="str">
        <f>IF(D288="x","1", "")</f>
        <v/>
      </c>
      <c r="K279" s="5">
        <f>ABS(IF(J279="1","1","0"))</f>
        <v>0</v>
      </c>
      <c r="L279" s="3">
        <v>1</v>
      </c>
      <c r="M279" s="3"/>
      <c r="N279" s="1"/>
    </row>
    <row r="280" spans="1:14" x14ac:dyDescent="0.2">
      <c r="A280" s="1"/>
      <c r="B280" s="65" t="str">
        <f>IF(C273="x",E266,"")</f>
        <v/>
      </c>
      <c r="C280" s="54" t="s">
        <v>2635</v>
      </c>
      <c r="D280" s="407"/>
      <c r="E280" s="59"/>
      <c r="F280" s="135"/>
      <c r="G280" s="59"/>
      <c r="H280" s="135"/>
      <c r="I280" s="1"/>
      <c r="J280" s="1"/>
      <c r="K280" s="1"/>
      <c r="L280" s="3"/>
      <c r="M280" s="3"/>
      <c r="N280" s="1"/>
    </row>
    <row r="281" spans="1:14" x14ac:dyDescent="0.2">
      <c r="A281" s="1"/>
      <c r="B281" s="65" t="str">
        <f>IF(C273="x",E275,"")</f>
        <v/>
      </c>
      <c r="C281" s="28" t="s">
        <v>547</v>
      </c>
      <c r="D281" s="115" t="s">
        <v>995</v>
      </c>
      <c r="E281" s="59"/>
      <c r="F281" s="135"/>
      <c r="G281" s="59"/>
      <c r="H281" s="135"/>
      <c r="I281" s="1"/>
      <c r="J281" s="1"/>
      <c r="K281" s="1"/>
      <c r="L281" s="3"/>
      <c r="M281" s="3"/>
      <c r="N281" s="1"/>
    </row>
    <row r="282" spans="1:14" x14ac:dyDescent="0.2">
      <c r="A282" s="1"/>
      <c r="B282" s="162" t="str">
        <f>IF(C273="x","ad Weaknesses:","")</f>
        <v/>
      </c>
      <c r="C282" s="6" t="s">
        <v>548</v>
      </c>
      <c r="D282" s="115" t="s">
        <v>995</v>
      </c>
      <c r="E282" s="59"/>
      <c r="F282" s="135"/>
      <c r="G282" s="59"/>
      <c r="H282" s="135"/>
      <c r="I282" s="1"/>
      <c r="J282" s="1"/>
      <c r="K282" s="1"/>
      <c r="L282" s="3"/>
      <c r="M282" s="5" t="s">
        <v>25</v>
      </c>
      <c r="N282" s="1"/>
    </row>
    <row r="283" spans="1:14" x14ac:dyDescent="0.2">
      <c r="A283" s="1" t="s">
        <v>995</v>
      </c>
      <c r="B283" s="65" t="str">
        <f>IF(C273="x",G264,"")</f>
        <v/>
      </c>
      <c r="C283" s="6" t="s">
        <v>549</v>
      </c>
      <c r="D283" s="115" t="s">
        <v>995</v>
      </c>
      <c r="E283" s="59"/>
      <c r="F283" s="135"/>
      <c r="G283" s="59"/>
      <c r="H283" s="135"/>
      <c r="I283" s="1"/>
      <c r="J283" s="1"/>
      <c r="K283" s="1"/>
      <c r="L283" s="3"/>
      <c r="M283" s="5" t="s">
        <v>995</v>
      </c>
      <c r="N283" s="1"/>
    </row>
    <row r="284" spans="1:14" x14ac:dyDescent="0.2">
      <c r="A284" s="1"/>
      <c r="B284" s="65" t="str">
        <f>IF(C273="x",G265,"")</f>
        <v/>
      </c>
      <c r="C284" s="6" t="s">
        <v>555</v>
      </c>
      <c r="D284" s="115" t="s">
        <v>995</v>
      </c>
      <c r="E284" s="59"/>
      <c r="F284" s="135"/>
      <c r="G284" s="59"/>
      <c r="H284" s="135"/>
      <c r="I284" s="1"/>
      <c r="J284" s="1"/>
      <c r="K284" s="1"/>
      <c r="L284" s="3"/>
      <c r="M284" s="5">
        <v>0</v>
      </c>
      <c r="N284" s="1"/>
    </row>
    <row r="285" spans="1:14" x14ac:dyDescent="0.2">
      <c r="A285" s="1"/>
      <c r="C285" s="6" t="s">
        <v>559</v>
      </c>
      <c r="D285" s="115" t="s">
        <v>995</v>
      </c>
      <c r="E285" s="59"/>
      <c r="F285" s="135"/>
      <c r="G285" s="59"/>
      <c r="H285" s="135"/>
      <c r="I285" s="1"/>
      <c r="J285" s="1"/>
      <c r="K285" s="1"/>
      <c r="L285" s="3"/>
      <c r="M285" s="3"/>
      <c r="N285" s="1"/>
    </row>
    <row r="286" spans="1:14" x14ac:dyDescent="0.2">
      <c r="A286" s="1"/>
      <c r="B286" s="162" t="str">
        <f>IF(C273="x","ad Oppertunities:","")</f>
        <v/>
      </c>
      <c r="C286" s="54" t="s">
        <v>553</v>
      </c>
      <c r="D286" s="407"/>
      <c r="E286" s="59"/>
      <c r="F286" s="135"/>
      <c r="G286" s="59"/>
      <c r="H286" s="135"/>
      <c r="I286" s="1"/>
      <c r="J286" s="1"/>
      <c r="K286" s="1"/>
      <c r="L286" s="3"/>
      <c r="M286" s="3"/>
      <c r="N286" s="1"/>
    </row>
    <row r="287" spans="1:14" x14ac:dyDescent="0.2">
      <c r="A287" s="1"/>
      <c r="B287" s="65" t="str">
        <f>IF(C273="x",C276,"")</f>
        <v/>
      </c>
      <c r="C287" s="55" t="s">
        <v>554</v>
      </c>
      <c r="D287" s="115" t="s">
        <v>995</v>
      </c>
      <c r="E287" s="59"/>
      <c r="F287" s="135"/>
      <c r="G287" s="59"/>
      <c r="H287" s="135"/>
      <c r="I287" s="1"/>
      <c r="J287" s="1"/>
      <c r="K287" s="1"/>
      <c r="L287" s="3"/>
      <c r="M287" s="3"/>
      <c r="N287" s="1"/>
    </row>
    <row r="288" spans="1:14" ht="13.5" thickBot="1" x14ac:dyDescent="0.25">
      <c r="A288" s="1"/>
      <c r="B288" s="65" t="str">
        <f>IF(C273="x",C277,"")</f>
        <v/>
      </c>
      <c r="C288" s="30" t="s">
        <v>566</v>
      </c>
      <c r="D288" s="115" t="s">
        <v>995</v>
      </c>
      <c r="E288" s="129"/>
      <c r="F288" s="157"/>
      <c r="G288" s="129"/>
      <c r="H288" s="157"/>
      <c r="I288" s="1"/>
      <c r="J288" s="1"/>
      <c r="K288" s="1"/>
      <c r="L288" s="3"/>
      <c r="M288" s="3"/>
      <c r="N288" s="1"/>
    </row>
    <row r="289" spans="1:14" ht="14.25" thickTop="1" thickBot="1" x14ac:dyDescent="0.25">
      <c r="A289" s="1"/>
      <c r="B289" s="65" t="str">
        <f>IF(C273="x",C280,"")</f>
        <v/>
      </c>
      <c r="C289" s="556" t="s">
        <v>2676</v>
      </c>
      <c r="D289" s="1"/>
      <c r="E289" s="62"/>
      <c r="F289" s="63"/>
      <c r="G289" s="62"/>
      <c r="H289" s="63"/>
      <c r="I289" s="1"/>
      <c r="J289" s="1" t="s">
        <v>574</v>
      </c>
      <c r="K289" s="1"/>
      <c r="L289" s="3"/>
      <c r="M289" s="3"/>
      <c r="N289" s="1"/>
    </row>
    <row r="290" spans="1:14" ht="13.5" thickTop="1" x14ac:dyDescent="0.2">
      <c r="A290" s="1"/>
      <c r="B290" s="65" t="str">
        <f>IF(C273="x",C281,"")</f>
        <v/>
      </c>
      <c r="C290" s="150" t="s">
        <v>550</v>
      </c>
      <c r="D290" s="152" t="s">
        <v>995</v>
      </c>
      <c r="E290" s="59"/>
      <c r="F290" s="135"/>
      <c r="G290" s="59"/>
      <c r="H290" s="135"/>
      <c r="I290" s="1"/>
      <c r="J290" s="5" t="str">
        <f>IF(D294="x","1", "")</f>
        <v/>
      </c>
      <c r="K290" s="5">
        <f>ABS(IF(J290="1","1","0"))</f>
        <v>0</v>
      </c>
      <c r="L290" s="3">
        <v>1</v>
      </c>
      <c r="M290" s="3"/>
      <c r="N290" s="1"/>
    </row>
    <row r="291" spans="1:14" x14ac:dyDescent="0.2">
      <c r="A291" s="1"/>
      <c r="B291" s="65" t="str">
        <f>IF(C273="x",C284,"")</f>
        <v/>
      </c>
      <c r="C291" s="6" t="s">
        <v>545</v>
      </c>
      <c r="D291" s="115" t="s">
        <v>995</v>
      </c>
      <c r="E291" s="59"/>
      <c r="F291" s="135"/>
      <c r="G291" s="59"/>
      <c r="H291" s="135"/>
      <c r="I291" s="1"/>
      <c r="J291" s="5" t="str">
        <f>IF(D297="x","1", "")</f>
        <v/>
      </c>
      <c r="K291" s="5">
        <f>ABS(IF(J291="1","1","0"))</f>
        <v>0</v>
      </c>
      <c r="L291" s="3">
        <v>1</v>
      </c>
      <c r="M291" s="3"/>
      <c r="N291" s="1"/>
    </row>
    <row r="292" spans="1:14" x14ac:dyDescent="0.2">
      <c r="A292" s="1"/>
      <c r="B292" s="65" t="str">
        <f>IF(C273="x",C288,"")</f>
        <v/>
      </c>
      <c r="C292" s="6" t="s">
        <v>556</v>
      </c>
      <c r="D292" s="115" t="s">
        <v>995</v>
      </c>
      <c r="E292" s="59"/>
      <c r="F292" s="135"/>
      <c r="G292" s="59"/>
      <c r="H292" s="135"/>
      <c r="I292" s="1"/>
      <c r="J292" s="5" t="str">
        <f>IF(D303="x","1", "")</f>
        <v/>
      </c>
      <c r="K292" s="5">
        <f>ABS(IF(J292="1","1","0"))</f>
        <v>0</v>
      </c>
      <c r="L292" s="3">
        <v>1</v>
      </c>
      <c r="M292" s="3"/>
      <c r="N292" s="1"/>
    </row>
    <row r="293" spans="1:14" x14ac:dyDescent="0.2">
      <c r="A293" s="1"/>
      <c r="B293" s="162" t="str">
        <f>IF(C273="x","ad Threats:","")</f>
        <v/>
      </c>
      <c r="C293" s="54" t="s">
        <v>557</v>
      </c>
      <c r="D293" s="407"/>
      <c r="E293" s="59"/>
      <c r="F293" s="135"/>
      <c r="G293" s="59"/>
      <c r="H293" s="135"/>
      <c r="I293" s="1"/>
      <c r="J293" s="5" t="str">
        <f>IF(D304="x","1", "")</f>
        <v/>
      </c>
      <c r="K293" s="5">
        <f>ABS(IF(J293="1","1","0"))</f>
        <v>0</v>
      </c>
      <c r="L293" s="3">
        <v>1</v>
      </c>
      <c r="M293" s="3"/>
      <c r="N293" s="1"/>
    </row>
    <row r="294" spans="1:14" x14ac:dyDescent="0.2">
      <c r="A294" s="1"/>
      <c r="B294" s="65" t="str">
        <f>IF(C273="x",C293,"")</f>
        <v/>
      </c>
      <c r="C294" s="28" t="s">
        <v>527</v>
      </c>
      <c r="D294" s="115" t="s">
        <v>995</v>
      </c>
      <c r="E294" s="59"/>
      <c r="F294" s="135"/>
      <c r="G294" s="59"/>
      <c r="H294" s="135"/>
      <c r="I294" s="1"/>
      <c r="J294" s="1"/>
      <c r="K294" s="1"/>
      <c r="L294" s="3"/>
      <c r="M294" s="3"/>
      <c r="N294" s="1"/>
    </row>
    <row r="295" spans="1:14" x14ac:dyDescent="0.2">
      <c r="A295" s="1"/>
      <c r="B295" s="65" t="str">
        <f>IF(C273="x",C294,"")</f>
        <v/>
      </c>
      <c r="C295" s="6" t="s">
        <v>518</v>
      </c>
      <c r="D295" s="115" t="s">
        <v>995</v>
      </c>
      <c r="E295" s="59"/>
      <c r="F295" s="135"/>
      <c r="G295" s="59"/>
      <c r="H295" s="135"/>
      <c r="I295" s="1"/>
      <c r="J295" s="1"/>
      <c r="K295" s="1"/>
      <c r="L295" s="3"/>
      <c r="M295" s="3"/>
      <c r="N295" s="1"/>
    </row>
    <row r="296" spans="1:14" x14ac:dyDescent="0.2">
      <c r="A296" s="1"/>
      <c r="B296" s="65" t="str">
        <f>IF(C273="x",C296,"")</f>
        <v/>
      </c>
      <c r="C296" s="54" t="s">
        <v>2189</v>
      </c>
      <c r="D296" s="407"/>
      <c r="E296" s="59"/>
      <c r="F296" s="135"/>
      <c r="G296" s="59"/>
      <c r="H296" s="135"/>
      <c r="I296" s="1"/>
      <c r="J296" s="1"/>
      <c r="K296" s="1"/>
      <c r="L296" s="3"/>
      <c r="M296" s="3"/>
      <c r="N296" s="1"/>
    </row>
    <row r="297" spans="1:14" x14ac:dyDescent="0.2">
      <c r="A297" s="1"/>
      <c r="B297" s="65" t="str">
        <f>IF(C273="x",C297,"")</f>
        <v/>
      </c>
      <c r="C297" s="28" t="s">
        <v>558</v>
      </c>
      <c r="D297" s="115" t="s">
        <v>995</v>
      </c>
      <c r="E297" s="59"/>
      <c r="F297" s="135"/>
      <c r="G297" s="59"/>
      <c r="H297" s="135"/>
      <c r="I297" s="1"/>
      <c r="J297" s="1"/>
      <c r="K297" s="1"/>
      <c r="L297" s="3"/>
      <c r="M297" s="3"/>
      <c r="N297" s="1"/>
    </row>
    <row r="298" spans="1:14" x14ac:dyDescent="0.2">
      <c r="A298" s="1"/>
      <c r="B298" s="65" t="str">
        <f>IF(C273="x",C302,"")</f>
        <v/>
      </c>
      <c r="C298" s="6" t="s">
        <v>552</v>
      </c>
      <c r="D298" s="115" t="s">
        <v>995</v>
      </c>
      <c r="E298" s="59"/>
      <c r="F298" s="135"/>
      <c r="G298" s="59"/>
      <c r="H298" s="135"/>
      <c r="I298" s="1"/>
      <c r="J298" s="1"/>
      <c r="K298" s="1"/>
      <c r="L298" s="3"/>
      <c r="M298" s="3"/>
      <c r="N298" s="1"/>
    </row>
    <row r="299" spans="1:14" x14ac:dyDescent="0.2">
      <c r="A299" s="1" t="s">
        <v>995</v>
      </c>
      <c r="B299" s="65" t="str">
        <f>IF(C273="x",C303,"")</f>
        <v/>
      </c>
      <c r="C299" s="6" t="s">
        <v>560</v>
      </c>
      <c r="D299" s="115" t="s">
        <v>995</v>
      </c>
      <c r="E299" s="59"/>
      <c r="F299" s="135"/>
      <c r="G299" s="59"/>
      <c r="H299" s="135"/>
      <c r="I299" s="1"/>
      <c r="J299" s="1"/>
      <c r="K299" s="1"/>
      <c r="L299" s="3"/>
      <c r="M299" s="3"/>
      <c r="N299" s="1"/>
    </row>
    <row r="300" spans="1:14" x14ac:dyDescent="0.2">
      <c r="A300" s="1"/>
      <c r="B300" s="65" t="str">
        <f>IF(C273="x",C304,"")</f>
        <v/>
      </c>
      <c r="C300" s="6" t="s">
        <v>561</v>
      </c>
      <c r="D300" s="115" t="s">
        <v>995</v>
      </c>
      <c r="E300" s="59"/>
      <c r="F300" s="135"/>
      <c r="G300" s="59"/>
      <c r="H300" s="135"/>
      <c r="I300" s="1"/>
      <c r="J300" s="1"/>
      <c r="K300" s="1"/>
      <c r="L300" s="3"/>
      <c r="M300" s="3"/>
      <c r="N300" s="1"/>
    </row>
    <row r="301" spans="1:14" x14ac:dyDescent="0.2">
      <c r="A301" s="1"/>
      <c r="B301" s="67"/>
      <c r="C301" s="6" t="s">
        <v>563</v>
      </c>
      <c r="D301" s="115" t="s">
        <v>995</v>
      </c>
      <c r="E301" s="59"/>
      <c r="F301" s="135"/>
      <c r="G301" s="59"/>
      <c r="H301" s="135"/>
      <c r="I301" s="1"/>
      <c r="J301" s="1"/>
      <c r="K301" s="1"/>
      <c r="L301" s="3"/>
      <c r="M301" s="3"/>
      <c r="N301" s="1"/>
    </row>
    <row r="302" spans="1:14" x14ac:dyDescent="0.2">
      <c r="A302" s="1"/>
      <c r="B302" s="65" t="str">
        <f>IF(C273="x","Vraag uw docent eventueel om een nadere toelichting.","")</f>
        <v/>
      </c>
      <c r="C302" s="54" t="s">
        <v>564</v>
      </c>
      <c r="D302" s="407"/>
      <c r="E302" s="59"/>
      <c r="F302" s="135"/>
      <c r="G302" s="59"/>
      <c r="H302" s="135"/>
      <c r="I302" s="1"/>
      <c r="J302" s="1"/>
      <c r="K302" s="1"/>
      <c r="L302" s="3"/>
      <c r="M302" s="3"/>
      <c r="N302" s="1"/>
    </row>
    <row r="303" spans="1:14" x14ac:dyDescent="0.2">
      <c r="A303" s="1"/>
      <c r="B303" s="67"/>
      <c r="C303" s="28" t="s">
        <v>565</v>
      </c>
      <c r="D303" s="115" t="s">
        <v>995</v>
      </c>
      <c r="E303" s="59"/>
      <c r="F303" s="135"/>
      <c r="G303" s="59"/>
      <c r="H303" s="135"/>
      <c r="I303" s="1"/>
      <c r="J303" s="1"/>
      <c r="K303" s="1"/>
      <c r="L303" s="3"/>
      <c r="M303" s="3"/>
      <c r="N303" s="1"/>
    </row>
    <row r="304" spans="1:14" x14ac:dyDescent="0.2">
      <c r="A304" s="1"/>
      <c r="B304" s="67"/>
      <c r="C304" s="6" t="s">
        <v>567</v>
      </c>
      <c r="D304" s="115" t="s">
        <v>995</v>
      </c>
      <c r="E304" s="129"/>
      <c r="F304" s="157"/>
      <c r="G304" s="129"/>
      <c r="H304" s="157"/>
      <c r="I304" s="1"/>
      <c r="J304" s="1"/>
      <c r="K304" s="1"/>
      <c r="L304" s="3"/>
      <c r="M304" s="3"/>
      <c r="N304" s="1"/>
    </row>
    <row r="305" spans="1:14" x14ac:dyDescent="0.2">
      <c r="A305" s="1"/>
      <c r="B305" s="1"/>
      <c r="C305" s="1"/>
      <c r="D305" s="1"/>
      <c r="E305" s="1"/>
      <c r="F305" s="1"/>
      <c r="G305" s="1"/>
      <c r="H305" s="1"/>
      <c r="I305" s="1"/>
      <c r="J305" s="1"/>
      <c r="K305" s="1"/>
      <c r="L305" s="3"/>
      <c r="M305" s="3"/>
      <c r="N305" s="1"/>
    </row>
    <row r="306" spans="1:14" x14ac:dyDescent="0.2">
      <c r="A306" s="14"/>
      <c r="B306" s="14"/>
      <c r="C306" s="14"/>
      <c r="D306" s="14"/>
      <c r="E306" s="14"/>
      <c r="F306" s="14"/>
      <c r="G306" s="14"/>
      <c r="H306" s="14"/>
      <c r="I306" s="14"/>
      <c r="J306" s="1"/>
      <c r="K306" s="1"/>
      <c r="L306" s="3"/>
      <c r="M306" s="3"/>
      <c r="N306" s="1"/>
    </row>
    <row r="307" spans="1:14" x14ac:dyDescent="0.2">
      <c r="A307" s="1"/>
      <c r="B307" s="1"/>
      <c r="C307" s="1"/>
      <c r="D307" s="1"/>
      <c r="E307" s="1"/>
      <c r="F307" s="1"/>
      <c r="G307" s="1"/>
      <c r="H307" s="1"/>
      <c r="I307" s="1"/>
      <c r="J307" s="5" t="e">
        <f>SEARCH("anticiperen",F315)</f>
        <v>#VALUE!</v>
      </c>
      <c r="K307" s="1"/>
      <c r="L307" s="3"/>
      <c r="M307" s="3"/>
      <c r="N307" s="1"/>
    </row>
    <row r="308" spans="1:14" x14ac:dyDescent="0.2">
      <c r="A308" s="1" t="s">
        <v>300</v>
      </c>
      <c r="B308" s="1" t="s">
        <v>577</v>
      </c>
      <c r="C308" s="1"/>
      <c r="D308" s="1"/>
      <c r="E308" s="485" t="s">
        <v>2677</v>
      </c>
      <c r="F308" s="431" t="s">
        <v>2678</v>
      </c>
      <c r="G308" s="1"/>
      <c r="H308" s="1"/>
      <c r="I308" s="1"/>
      <c r="J308" s="5">
        <f>ABS(ISERR(J307))</f>
        <v>1</v>
      </c>
      <c r="K308" s="5">
        <f>ABS(IF(J308=0,"1","0"))</f>
        <v>0</v>
      </c>
      <c r="L308" s="3">
        <v>1</v>
      </c>
      <c r="M308" s="3"/>
      <c r="N308" s="1"/>
    </row>
    <row r="309" spans="1:14" x14ac:dyDescent="0.2">
      <c r="A309" s="1"/>
      <c r="B309" s="1" t="s">
        <v>578</v>
      </c>
      <c r="C309" s="1"/>
      <c r="D309" s="1"/>
      <c r="E309" s="163">
        <v>1</v>
      </c>
      <c r="F309" s="163">
        <v>1</v>
      </c>
      <c r="G309" s="1"/>
      <c r="H309" s="1"/>
      <c r="I309" s="1"/>
      <c r="J309" s="5" t="e">
        <f>SEARCH("verdedigen",F315)</f>
        <v>#VALUE!</v>
      </c>
      <c r="K309" s="1"/>
      <c r="L309" s="3"/>
      <c r="M309" s="3"/>
      <c r="N309" s="1"/>
    </row>
    <row r="310" spans="1:14" x14ac:dyDescent="0.2">
      <c r="A310" s="1"/>
      <c r="B310" s="1" t="s">
        <v>579</v>
      </c>
      <c r="C310" s="1"/>
      <c r="D310" s="1"/>
      <c r="E310" s="73">
        <v>2</v>
      </c>
      <c r="F310" s="73">
        <v>2</v>
      </c>
      <c r="G310" s="1"/>
      <c r="H310" s="1"/>
      <c r="I310" s="1"/>
      <c r="J310" s="5">
        <f>ABS(ISERR(J309))</f>
        <v>1</v>
      </c>
      <c r="K310" s="5">
        <f>ABS(IF(J310=0,"1","0"))</f>
        <v>0</v>
      </c>
      <c r="L310" s="3"/>
      <c r="M310" s="3"/>
      <c r="N310" s="1"/>
    </row>
    <row r="311" spans="1:14" x14ac:dyDescent="0.2">
      <c r="A311" s="1"/>
      <c r="B311" s="1" t="s">
        <v>580</v>
      </c>
      <c r="C311" s="1"/>
      <c r="D311" s="1"/>
      <c r="E311" s="73">
        <v>3</v>
      </c>
      <c r="F311" s="73">
        <v>3</v>
      </c>
      <c r="G311" s="1"/>
      <c r="H311" s="1"/>
      <c r="I311" s="1"/>
      <c r="J311" s="5" t="e">
        <f>SEARCH("voorkomen",E320)</f>
        <v>#VALUE!</v>
      </c>
      <c r="K311" s="1"/>
      <c r="L311" s="3"/>
      <c r="M311" s="3"/>
      <c r="N311" s="1"/>
    </row>
    <row r="312" spans="1:14" ht="13.5" thickBot="1" x14ac:dyDescent="0.25">
      <c r="A312" s="1"/>
      <c r="B312" s="1" t="s">
        <v>583</v>
      </c>
      <c r="C312" s="1"/>
      <c r="D312" s="1"/>
      <c r="E312" s="54" t="s">
        <v>576</v>
      </c>
      <c r="F312" s="54" t="s">
        <v>576</v>
      </c>
      <c r="G312" s="1"/>
      <c r="H312" s="1"/>
      <c r="I312" s="1"/>
      <c r="J312" s="5">
        <f>ABS(ISERR(J311))</f>
        <v>1</v>
      </c>
      <c r="K312" s="5">
        <f>ABS(IF(J312=0,"1","0"))</f>
        <v>0</v>
      </c>
      <c r="L312" s="3">
        <v>1</v>
      </c>
      <c r="M312" s="3"/>
      <c r="N312" s="1"/>
    </row>
    <row r="313" spans="1:14" ht="13.5" thickTop="1" x14ac:dyDescent="0.2">
      <c r="A313" s="1"/>
      <c r="B313" s="1" t="s">
        <v>2190</v>
      </c>
      <c r="C313" s="1"/>
      <c r="D313" s="557" t="s">
        <v>2675</v>
      </c>
      <c r="E313" s="158"/>
      <c r="F313" s="154"/>
      <c r="G313" s="1"/>
      <c r="H313" s="1"/>
      <c r="I313" s="1"/>
      <c r="J313" s="5" t="e">
        <f>SEARCH("aanpassen",E320)</f>
        <v>#VALUE!</v>
      </c>
      <c r="K313" s="1"/>
      <c r="L313" s="3"/>
      <c r="M313" s="3"/>
      <c r="N313" s="1"/>
    </row>
    <row r="314" spans="1:14" x14ac:dyDescent="0.2">
      <c r="A314" s="1"/>
      <c r="B314" s="1" t="s">
        <v>584</v>
      </c>
      <c r="C314" s="1"/>
      <c r="D314" s="164">
        <v>1</v>
      </c>
      <c r="E314" s="170" t="str">
        <f>IF(C324="x",J325,"")</f>
        <v/>
      </c>
      <c r="F314" s="170" t="str">
        <f>IF(C324="x",J319,"")</f>
        <v/>
      </c>
      <c r="G314" s="1"/>
      <c r="H314" s="1"/>
      <c r="I314" s="1"/>
      <c r="J314" s="5">
        <f>ABS(ISERR(J313))</f>
        <v>1</v>
      </c>
      <c r="K314" s="5">
        <f>ABS(IF(J314=0,"1","0"))</f>
        <v>0</v>
      </c>
      <c r="L314" s="3"/>
      <c r="M314" s="3"/>
      <c r="N314" s="1"/>
    </row>
    <row r="315" spans="1:14" x14ac:dyDescent="0.2">
      <c r="A315" s="1"/>
      <c r="B315" s="81" t="s">
        <v>581</v>
      </c>
      <c r="C315" s="1"/>
      <c r="D315" s="165">
        <v>2</v>
      </c>
      <c r="E315" s="167" t="s">
        <v>420</v>
      </c>
      <c r="F315" s="168" t="s">
        <v>995</v>
      </c>
      <c r="G315" s="1"/>
      <c r="H315" s="1"/>
      <c r="I315" s="1"/>
      <c r="J315" s="5" t="e">
        <f>SEARCH("ombuigen",F320)</f>
        <v>#VALUE!</v>
      </c>
      <c r="K315" s="1"/>
      <c r="L315" s="3"/>
      <c r="M315" s="3"/>
      <c r="N315" s="1"/>
    </row>
    <row r="316" spans="1:14" x14ac:dyDescent="0.2">
      <c r="A316" s="1"/>
      <c r="B316" s="81" t="s">
        <v>582</v>
      </c>
      <c r="C316" s="1"/>
      <c r="D316" s="165">
        <v>3</v>
      </c>
      <c r="E316" s="170" t="str">
        <f>IF(C324="x",J326,"")</f>
        <v/>
      </c>
      <c r="F316" s="170" t="str">
        <f>IF(C324="x",J320,"")</f>
        <v/>
      </c>
      <c r="G316" s="1"/>
      <c r="H316" s="1"/>
      <c r="I316" s="1"/>
      <c r="J316" s="5">
        <f>ABS(ISERR(J315))</f>
        <v>1</v>
      </c>
      <c r="K316" s="5">
        <f>ABS(IF(J316=0,"1","0"))</f>
        <v>0</v>
      </c>
      <c r="L316" s="3">
        <v>1</v>
      </c>
      <c r="M316" s="3"/>
      <c r="N316" s="1"/>
    </row>
    <row r="317" spans="1:14" ht="13.5" thickBot="1" x14ac:dyDescent="0.25">
      <c r="A317" s="1"/>
      <c r="B317" s="81" t="s">
        <v>2191</v>
      </c>
      <c r="C317" s="1"/>
      <c r="D317" s="62" t="s">
        <v>576</v>
      </c>
      <c r="E317" s="159"/>
      <c r="F317" s="153"/>
      <c r="G317" s="1"/>
      <c r="H317" s="1"/>
      <c r="I317" s="1"/>
      <c r="J317" s="5" t="e">
        <f>SEARCH("overleven",F320)</f>
        <v>#VALUE!</v>
      </c>
      <c r="K317" s="1"/>
      <c r="L317" s="3"/>
      <c r="M317" s="3"/>
      <c r="N317" s="1"/>
    </row>
    <row r="318" spans="1:14" ht="13.5" thickTop="1" x14ac:dyDescent="0.2">
      <c r="A318" s="1"/>
      <c r="B318" s="81" t="s">
        <v>2192</v>
      </c>
      <c r="C318" s="1"/>
      <c r="D318" s="558" t="s">
        <v>2676</v>
      </c>
      <c r="E318" s="158"/>
      <c r="F318" s="154"/>
      <c r="G318" s="1"/>
      <c r="H318" s="1"/>
      <c r="I318" s="1"/>
      <c r="J318" s="5">
        <f>ABS(ISERR(J317))</f>
        <v>1</v>
      </c>
      <c r="K318" s="5">
        <f>ABS(IF(J318=0,"1","0"))</f>
        <v>0</v>
      </c>
      <c r="L318" s="3"/>
      <c r="M318" s="3"/>
      <c r="N318" s="1"/>
    </row>
    <row r="319" spans="1:14" x14ac:dyDescent="0.2">
      <c r="A319" s="1"/>
      <c r="B319" s="81" t="s">
        <v>2193</v>
      </c>
      <c r="C319" s="1"/>
      <c r="D319" s="164">
        <v>1</v>
      </c>
      <c r="E319" s="170" t="str">
        <f>IF(C324="x",J321,"")</f>
        <v/>
      </c>
      <c r="F319" s="170" t="str">
        <f>IF(C324="x",J323,"")</f>
        <v/>
      </c>
      <c r="G319" s="1"/>
      <c r="H319" s="1"/>
      <c r="I319" s="1"/>
      <c r="J319" s="1" t="s">
        <v>421</v>
      </c>
      <c r="K319" s="1"/>
      <c r="L319" s="3"/>
      <c r="M319" s="3"/>
      <c r="N319" s="1"/>
    </row>
    <row r="320" spans="1:14" x14ac:dyDescent="0.2">
      <c r="A320" s="1"/>
      <c r="B320" s="1"/>
      <c r="C320" s="1"/>
      <c r="D320" s="165">
        <v>2</v>
      </c>
      <c r="E320" s="166" t="s">
        <v>995</v>
      </c>
      <c r="F320" s="168" t="s">
        <v>995</v>
      </c>
      <c r="G320" s="1"/>
      <c r="H320" s="1"/>
      <c r="I320" s="1"/>
      <c r="J320" s="1" t="s">
        <v>585</v>
      </c>
      <c r="K320" s="1"/>
      <c r="L320" s="3"/>
      <c r="M320" s="3"/>
      <c r="N320" s="1"/>
    </row>
    <row r="321" spans="1:14" x14ac:dyDescent="0.2">
      <c r="A321" s="1"/>
      <c r="C321" s="169" t="s">
        <v>995</v>
      </c>
      <c r="D321" s="165">
        <v>3</v>
      </c>
      <c r="E321" s="170" t="str">
        <f>IF(C324="x",J322,"")</f>
        <v/>
      </c>
      <c r="F321" s="170" t="str">
        <f>IF(C324="x",J324,"")</f>
        <v/>
      </c>
      <c r="G321" s="1"/>
      <c r="H321" s="1"/>
      <c r="I321" s="1"/>
      <c r="J321" s="1" t="s">
        <v>422</v>
      </c>
      <c r="K321" s="1"/>
      <c r="L321" s="3"/>
      <c r="M321" s="3"/>
      <c r="N321" s="1"/>
    </row>
    <row r="322" spans="1:14" ht="13.5" thickBot="1" x14ac:dyDescent="0.25">
      <c r="A322" s="1"/>
      <c r="B322" s="239"/>
      <c r="C322" s="1"/>
      <c r="D322" s="108" t="s">
        <v>576</v>
      </c>
      <c r="E322" s="160"/>
      <c r="F322" s="161"/>
      <c r="H322" s="1"/>
      <c r="I322" s="1"/>
      <c r="J322" s="1" t="s">
        <v>586</v>
      </c>
      <c r="K322" s="1"/>
      <c r="L322" s="3"/>
      <c r="M322" s="3"/>
      <c r="N322" s="1"/>
    </row>
    <row r="323" spans="1:14" ht="13.5" thickTop="1" x14ac:dyDescent="0.2">
      <c r="A323" s="1"/>
      <c r="B323" s="1"/>
      <c r="C323" s="1"/>
      <c r="D323" s="1"/>
      <c r="E323" s="1"/>
      <c r="F323" s="1"/>
      <c r="G323" s="1"/>
      <c r="H323" s="1"/>
      <c r="I323" s="1"/>
      <c r="J323" s="1" t="s">
        <v>423</v>
      </c>
      <c r="K323" s="1"/>
      <c r="L323" s="3"/>
      <c r="M323" s="3"/>
      <c r="N323" s="1"/>
    </row>
    <row r="324" spans="1:14" x14ac:dyDescent="0.2">
      <c r="A324" s="1"/>
      <c r="B324" s="82" t="s">
        <v>948</v>
      </c>
      <c r="C324" s="318" t="s">
        <v>995</v>
      </c>
      <c r="D324" s="1"/>
      <c r="E324" s="1"/>
      <c r="F324" s="1"/>
      <c r="G324" s="1"/>
      <c r="H324" s="1"/>
      <c r="I324" s="1"/>
      <c r="J324" s="1" t="s">
        <v>587</v>
      </c>
      <c r="K324" s="1"/>
      <c r="L324" s="3"/>
      <c r="M324" s="3"/>
      <c r="N324" s="1"/>
    </row>
    <row r="325" spans="1:14" x14ac:dyDescent="0.2">
      <c r="A325" s="1"/>
      <c r="B325" s="1"/>
      <c r="C325" s="1" t="s">
        <v>995</v>
      </c>
      <c r="D325" s="1"/>
      <c r="E325" s="1"/>
      <c r="F325" s="1"/>
      <c r="G325" s="1"/>
      <c r="H325" s="1"/>
      <c r="I325" s="1"/>
      <c r="J325" s="1" t="s">
        <v>424</v>
      </c>
      <c r="K325" s="1"/>
      <c r="L325" s="3"/>
      <c r="M325" s="3"/>
      <c r="N325" s="1"/>
    </row>
    <row r="326" spans="1:14" x14ac:dyDescent="0.2">
      <c r="A326" s="1"/>
      <c r="B326" s="1"/>
      <c r="C326" s="1"/>
      <c r="D326" s="1"/>
      <c r="E326" s="1"/>
      <c r="F326" s="1"/>
      <c r="G326" s="1"/>
      <c r="H326" s="1"/>
      <c r="I326" s="1"/>
      <c r="J326" s="1" t="s">
        <v>425</v>
      </c>
      <c r="K326" s="1"/>
      <c r="L326" s="3"/>
      <c r="M326" s="3"/>
      <c r="N326" s="1"/>
    </row>
    <row r="327" spans="1:14" x14ac:dyDescent="0.2">
      <c r="A327" s="14"/>
      <c r="B327" s="14"/>
      <c r="C327" s="14"/>
      <c r="D327" s="14"/>
      <c r="E327" s="14"/>
      <c r="F327" s="14"/>
      <c r="G327" s="14"/>
      <c r="H327" s="14"/>
      <c r="I327" s="14"/>
      <c r="J327" s="1"/>
      <c r="K327" s="1"/>
      <c r="L327" s="3"/>
      <c r="M327" s="3"/>
      <c r="N327" s="1"/>
    </row>
    <row r="328" spans="1:14" x14ac:dyDescent="0.2">
      <c r="A328" s="1"/>
      <c r="B328" s="1"/>
      <c r="C328" s="1"/>
      <c r="D328" s="1"/>
      <c r="E328" s="1"/>
      <c r="F328" s="1"/>
      <c r="G328" s="1"/>
      <c r="H328" s="1"/>
      <c r="I328" s="1"/>
      <c r="J328" s="1"/>
      <c r="K328" s="1"/>
      <c r="L328" s="3"/>
      <c r="M328" s="3"/>
      <c r="N328" s="1"/>
    </row>
    <row r="329" spans="1:14" x14ac:dyDescent="0.2">
      <c r="A329" s="1" t="s">
        <v>949</v>
      </c>
      <c r="B329" s="122" t="s">
        <v>971</v>
      </c>
      <c r="C329" s="1"/>
      <c r="D329" s="1"/>
      <c r="E329" s="1"/>
      <c r="F329" s="1"/>
      <c r="G329" s="1"/>
      <c r="H329" s="1"/>
      <c r="I329" s="1"/>
      <c r="J329" s="1"/>
      <c r="K329" s="1"/>
      <c r="L329" s="3"/>
      <c r="M329" s="3"/>
      <c r="N329" s="1"/>
    </row>
    <row r="330" spans="1:14" x14ac:dyDescent="0.2">
      <c r="A330" s="1"/>
      <c r="B330" s="122" t="s">
        <v>771</v>
      </c>
      <c r="C330" s="1"/>
      <c r="D330" s="1"/>
      <c r="E330" s="1"/>
      <c r="F330" s="1"/>
      <c r="G330" s="1"/>
      <c r="H330" s="1"/>
      <c r="I330" s="1"/>
      <c r="J330" s="1"/>
      <c r="K330" s="1"/>
      <c r="L330" s="3"/>
      <c r="M330" s="3"/>
      <c r="N330" s="1"/>
    </row>
    <row r="331" spans="1:14" x14ac:dyDescent="0.2">
      <c r="A331" s="1"/>
      <c r="B331" s="122" t="s">
        <v>772</v>
      </c>
      <c r="C331" s="1"/>
      <c r="D331" s="1"/>
      <c r="E331" s="1"/>
      <c r="F331" s="1"/>
      <c r="G331" s="1"/>
      <c r="H331" s="1"/>
      <c r="I331" s="1"/>
      <c r="J331" s="1"/>
      <c r="K331" s="1"/>
      <c r="L331" s="3"/>
      <c r="M331" s="3"/>
      <c r="N331" s="1"/>
    </row>
    <row r="332" spans="1:14" x14ac:dyDescent="0.2">
      <c r="A332" s="1"/>
      <c r="B332" s="529" t="s">
        <v>2194</v>
      </c>
      <c r="C332" s="1"/>
      <c r="D332" s="1"/>
      <c r="E332" s="1"/>
      <c r="F332" s="1"/>
      <c r="G332" s="1"/>
      <c r="H332" s="1"/>
      <c r="I332" s="1"/>
      <c r="J332" s="1"/>
      <c r="K332" s="1"/>
      <c r="L332" s="3"/>
      <c r="M332" s="3"/>
      <c r="N332" s="1"/>
    </row>
    <row r="333" spans="1:14" x14ac:dyDescent="0.2">
      <c r="A333" s="1"/>
      <c r="B333" s="1" t="s">
        <v>397</v>
      </c>
      <c r="C333" s="1"/>
      <c r="D333" s="174"/>
      <c r="E333" s="1"/>
      <c r="F333" s="1"/>
      <c r="G333" s="1"/>
      <c r="H333" s="1"/>
      <c r="I333" s="1"/>
      <c r="J333" s="1"/>
      <c r="K333" s="1"/>
      <c r="L333" s="3"/>
      <c r="M333" s="3"/>
      <c r="N333" s="1"/>
    </row>
    <row r="334" spans="1:14" x14ac:dyDescent="0.2">
      <c r="A334" s="1"/>
      <c r="B334" s="1" t="s">
        <v>398</v>
      </c>
      <c r="C334" s="1"/>
      <c r="D334" s="174"/>
      <c r="E334" s="1"/>
      <c r="F334" s="1"/>
      <c r="G334" s="1"/>
      <c r="H334" s="1"/>
      <c r="I334" s="1"/>
      <c r="J334" s="1"/>
      <c r="K334" s="1"/>
      <c r="L334" s="3"/>
      <c r="M334" s="3"/>
      <c r="N334" s="1"/>
    </row>
    <row r="335" spans="1:14" x14ac:dyDescent="0.2">
      <c r="A335" s="1"/>
      <c r="B335" s="1"/>
      <c r="D335" s="174"/>
      <c r="E335" s="1"/>
      <c r="F335" s="1"/>
      <c r="G335" s="1"/>
      <c r="H335" s="1"/>
      <c r="I335" s="1"/>
      <c r="J335" s="1"/>
      <c r="K335" s="1"/>
      <c r="L335" s="3"/>
      <c r="M335" s="3"/>
      <c r="N335" s="1"/>
    </row>
    <row r="336" spans="1:14" ht="13.5" thickBot="1" x14ac:dyDescent="0.25">
      <c r="A336" s="1"/>
      <c r="B336" s="54" t="s">
        <v>1687</v>
      </c>
      <c r="C336" s="12" t="s">
        <v>1688</v>
      </c>
      <c r="D336" s="177" t="s">
        <v>1689</v>
      </c>
      <c r="E336" s="12" t="s">
        <v>1690</v>
      </c>
      <c r="F336" s="1"/>
      <c r="G336" s="1"/>
      <c r="H336" s="1"/>
      <c r="I336" s="1"/>
      <c r="J336" s="1"/>
      <c r="K336" s="1"/>
      <c r="L336" s="3"/>
      <c r="M336" s="3"/>
      <c r="N336" s="1"/>
    </row>
    <row r="337" spans="1:14" ht="13.5" thickTop="1" x14ac:dyDescent="0.2">
      <c r="A337" s="1"/>
      <c r="B337" s="347" t="s">
        <v>1691</v>
      </c>
      <c r="C337" s="425">
        <v>0</v>
      </c>
      <c r="D337" s="175" t="e">
        <f>(C337/C344)*100</f>
        <v>#DIV/0!</v>
      </c>
      <c r="E337" s="175" t="e">
        <f>D337</f>
        <v>#DIV/0!</v>
      </c>
      <c r="F337" s="1"/>
      <c r="G337" s="1"/>
      <c r="H337" s="1"/>
      <c r="I337" s="1"/>
      <c r="J337" s="1"/>
      <c r="K337" s="1"/>
      <c r="L337" s="3"/>
      <c r="M337" s="3"/>
      <c r="N337" s="1"/>
    </row>
    <row r="338" spans="1:14" x14ac:dyDescent="0.2">
      <c r="A338" s="1"/>
      <c r="B338" s="27" t="s">
        <v>1692</v>
      </c>
      <c r="C338" s="10">
        <v>0</v>
      </c>
      <c r="D338" s="176" t="e">
        <f>(C338/C344)*100</f>
        <v>#DIV/0!</v>
      </c>
      <c r="E338" s="176" t="e">
        <f t="shared" ref="E338:E343" si="1">E337+D338</f>
        <v>#DIV/0!</v>
      </c>
      <c r="F338" s="1"/>
      <c r="G338" s="1"/>
      <c r="H338" s="1"/>
      <c r="I338" s="1"/>
      <c r="J338" s="1"/>
      <c r="K338" s="1"/>
      <c r="L338" s="3"/>
      <c r="M338" s="3"/>
      <c r="N338" s="1"/>
    </row>
    <row r="339" spans="1:14" x14ac:dyDescent="0.2">
      <c r="A339" s="1"/>
      <c r="B339" s="27" t="s">
        <v>1694</v>
      </c>
      <c r="C339" s="10">
        <v>0</v>
      </c>
      <c r="D339" s="176" t="e">
        <f>(C339/C344)*100</f>
        <v>#DIV/0!</v>
      </c>
      <c r="E339" s="176" t="e">
        <f t="shared" si="1"/>
        <v>#DIV/0!</v>
      </c>
      <c r="F339" s="1"/>
      <c r="G339" s="1"/>
      <c r="H339" s="1"/>
      <c r="I339" s="1"/>
      <c r="J339" s="1"/>
      <c r="K339" s="1"/>
      <c r="L339" s="3"/>
      <c r="M339" s="3"/>
      <c r="N339" s="1"/>
    </row>
    <row r="340" spans="1:14" x14ac:dyDescent="0.2">
      <c r="A340" s="1"/>
      <c r="B340" s="27" t="s">
        <v>1695</v>
      </c>
      <c r="C340" s="10">
        <v>0</v>
      </c>
      <c r="D340" s="176" t="e">
        <f>(C340/C344)*100</f>
        <v>#DIV/0!</v>
      </c>
      <c r="E340" s="176" t="e">
        <f t="shared" si="1"/>
        <v>#DIV/0!</v>
      </c>
      <c r="F340" s="1"/>
      <c r="G340" s="1"/>
      <c r="H340" s="1"/>
      <c r="I340" s="1"/>
      <c r="J340" s="1"/>
      <c r="K340" s="1"/>
      <c r="L340" s="3"/>
      <c r="M340" s="3"/>
      <c r="N340" s="1"/>
    </row>
    <row r="341" spans="1:14" x14ac:dyDescent="0.2">
      <c r="A341" s="1"/>
      <c r="B341" s="27" t="s">
        <v>1696</v>
      </c>
      <c r="C341" s="10">
        <v>0</v>
      </c>
      <c r="D341" s="176" t="e">
        <f>(C341/C344)*100</f>
        <v>#DIV/0!</v>
      </c>
      <c r="E341" s="176" t="e">
        <f t="shared" si="1"/>
        <v>#DIV/0!</v>
      </c>
      <c r="F341" s="1"/>
      <c r="G341" s="1"/>
      <c r="H341" s="1"/>
      <c r="I341" s="1"/>
      <c r="J341" s="1"/>
      <c r="K341" s="1"/>
      <c r="L341" s="3"/>
      <c r="M341" s="3"/>
      <c r="N341" s="1"/>
    </row>
    <row r="342" spans="1:14" x14ac:dyDescent="0.2">
      <c r="A342" s="1"/>
      <c r="B342" s="27" t="s">
        <v>1697</v>
      </c>
      <c r="C342" s="10">
        <v>0</v>
      </c>
      <c r="D342" s="176" t="e">
        <f>(C342/C344)*100</f>
        <v>#DIV/0!</v>
      </c>
      <c r="E342" s="176" t="e">
        <f t="shared" si="1"/>
        <v>#DIV/0!</v>
      </c>
      <c r="F342" s="1"/>
      <c r="G342" s="1"/>
      <c r="H342" s="1"/>
      <c r="I342" s="1"/>
      <c r="J342" s="1"/>
      <c r="K342" s="1"/>
      <c r="L342" s="3"/>
      <c r="M342" s="3"/>
      <c r="N342" s="1"/>
    </row>
    <row r="343" spans="1:14" ht="13.5" thickBot="1" x14ac:dyDescent="0.25">
      <c r="A343" s="1"/>
      <c r="B343" s="27" t="s">
        <v>1693</v>
      </c>
      <c r="C343" s="43">
        <v>0</v>
      </c>
      <c r="D343" s="177" t="e">
        <f>(C343/C344)*100</f>
        <v>#DIV/0!</v>
      </c>
      <c r="E343" s="177" t="e">
        <f t="shared" si="1"/>
        <v>#DIV/0!</v>
      </c>
      <c r="F343" s="1"/>
      <c r="G343" s="1"/>
      <c r="H343" s="1"/>
      <c r="I343" s="1"/>
      <c r="J343" s="1"/>
      <c r="K343" s="1"/>
      <c r="L343" s="3"/>
      <c r="M343" s="3"/>
      <c r="N343" s="1"/>
    </row>
    <row r="344" spans="1:14" ht="13.5" thickTop="1" x14ac:dyDescent="0.2">
      <c r="A344" s="1"/>
      <c r="B344" s="1"/>
      <c r="C344" s="178">
        <f>SUM(C337:C343)</f>
        <v>0</v>
      </c>
      <c r="D344" s="178" t="e">
        <f>SUM(D337:D343)</f>
        <v>#DIV/0!</v>
      </c>
      <c r="E344" s="178" t="e">
        <f>SUM(E337:E343)</f>
        <v>#DIV/0!</v>
      </c>
      <c r="F344" s="1"/>
      <c r="G344" s="1"/>
      <c r="H344" s="1"/>
      <c r="I344" s="1"/>
      <c r="J344" s="1"/>
      <c r="K344" s="1"/>
      <c r="L344" s="3"/>
      <c r="M344" s="3"/>
      <c r="N344" s="1"/>
    </row>
    <row r="345" spans="1:14" x14ac:dyDescent="0.2">
      <c r="A345" s="1"/>
      <c r="B345" s="179" t="s">
        <v>2195</v>
      </c>
      <c r="C345" s="1"/>
      <c r="D345" s="174"/>
      <c r="E345" s="1"/>
      <c r="F345" s="1"/>
      <c r="G345" s="1"/>
      <c r="H345" s="1"/>
      <c r="I345" s="1"/>
      <c r="J345" s="1"/>
      <c r="K345" s="1"/>
      <c r="L345" s="3"/>
      <c r="M345" s="3"/>
      <c r="N345" s="1"/>
    </row>
    <row r="346" spans="1:14" x14ac:dyDescent="0.2">
      <c r="A346" s="1"/>
      <c r="B346" s="1" t="s">
        <v>2196</v>
      </c>
      <c r="C346" s="1"/>
      <c r="D346" s="177" t="s">
        <v>675</v>
      </c>
      <c r="E346" s="1"/>
      <c r="F346" s="1"/>
      <c r="G346" s="1"/>
      <c r="H346" s="1"/>
      <c r="I346" s="1"/>
      <c r="J346" s="1"/>
      <c r="K346" s="1"/>
      <c r="L346" s="3"/>
      <c r="M346" s="3"/>
      <c r="N346" s="1"/>
    </row>
    <row r="347" spans="1:14" x14ac:dyDescent="0.2">
      <c r="A347" s="1"/>
      <c r="B347" s="1" t="s">
        <v>773</v>
      </c>
      <c r="C347" s="1"/>
      <c r="D347" s="230" t="s">
        <v>676</v>
      </c>
      <c r="E347" s="1"/>
      <c r="F347" s="1"/>
      <c r="G347" s="1"/>
      <c r="H347" s="1"/>
      <c r="I347" s="1"/>
      <c r="J347" s="1"/>
      <c r="K347" s="1"/>
      <c r="L347" s="3"/>
      <c r="M347" s="3"/>
      <c r="N347" s="1"/>
    </row>
    <row r="348" spans="1:14" x14ac:dyDescent="0.2">
      <c r="A348" s="1"/>
      <c r="B348" s="1" t="s">
        <v>774</v>
      </c>
      <c r="C348" s="1"/>
      <c r="D348" s="505" t="s">
        <v>677</v>
      </c>
      <c r="E348" s="1"/>
      <c r="F348" s="1"/>
      <c r="G348" s="1"/>
      <c r="H348" s="1"/>
      <c r="I348" s="1"/>
      <c r="J348" s="1"/>
      <c r="K348" s="1"/>
      <c r="L348" s="3"/>
      <c r="M348" s="3"/>
      <c r="N348" s="1"/>
    </row>
    <row r="349" spans="1:14" x14ac:dyDescent="0.2">
      <c r="A349" s="1"/>
      <c r="B349" s="1" t="s">
        <v>775</v>
      </c>
      <c r="C349" s="1"/>
      <c r="D349" s="174"/>
      <c r="E349" s="1"/>
      <c r="F349" s="1"/>
      <c r="G349" s="1"/>
      <c r="H349" s="1"/>
      <c r="I349" s="1"/>
      <c r="J349" s="1"/>
      <c r="K349" s="1"/>
      <c r="L349" s="3"/>
      <c r="M349" s="3"/>
      <c r="N349" s="1"/>
    </row>
    <row r="350" spans="1:14" x14ac:dyDescent="0.2">
      <c r="A350" s="1"/>
      <c r="B350" s="1"/>
      <c r="C350" s="1"/>
      <c r="D350" s="174"/>
      <c r="E350" s="1"/>
      <c r="F350" s="1"/>
      <c r="G350" s="1"/>
      <c r="H350" s="1"/>
      <c r="I350" s="1"/>
      <c r="J350" s="1"/>
      <c r="K350" s="1"/>
      <c r="L350" s="3"/>
      <c r="M350" s="3"/>
      <c r="N350" s="1"/>
    </row>
    <row r="351" spans="1:14" x14ac:dyDescent="0.2">
      <c r="A351" s="14"/>
      <c r="B351" s="14"/>
      <c r="C351" s="14"/>
      <c r="D351" s="180"/>
      <c r="E351" s="14"/>
      <c r="F351" s="14"/>
      <c r="G351" s="14"/>
      <c r="H351" s="14"/>
      <c r="I351" s="14"/>
      <c r="J351" s="1"/>
      <c r="K351" s="1"/>
      <c r="L351" s="3"/>
      <c r="M351" s="3"/>
      <c r="N351" s="1"/>
    </row>
    <row r="352" spans="1:14" x14ac:dyDescent="0.2">
      <c r="A352" s="1"/>
      <c r="B352" s="1"/>
      <c r="C352" s="1"/>
      <c r="D352" s="174"/>
      <c r="E352" s="1"/>
      <c r="F352" s="1"/>
      <c r="G352" s="1"/>
      <c r="H352" s="1"/>
      <c r="I352" s="1"/>
      <c r="J352" s="1"/>
      <c r="K352" s="1"/>
      <c r="L352" s="3"/>
      <c r="M352" s="3"/>
      <c r="N352" s="1"/>
    </row>
    <row r="353" spans="1:14" ht="26.25" thickBot="1" x14ac:dyDescent="0.25">
      <c r="A353" s="1" t="s">
        <v>307</v>
      </c>
      <c r="B353" s="103" t="s">
        <v>2636</v>
      </c>
      <c r="C353" s="102" t="s">
        <v>446</v>
      </c>
      <c r="D353" s="102" t="s">
        <v>1623</v>
      </c>
      <c r="E353" s="526" t="s">
        <v>2119</v>
      </c>
      <c r="F353" s="527" t="s">
        <v>2120</v>
      </c>
      <c r="G353" s="1"/>
      <c r="H353" s="1"/>
      <c r="I353" s="1"/>
      <c r="J353" s="1"/>
      <c r="K353" s="1"/>
      <c r="L353" s="3"/>
      <c r="M353" s="3"/>
      <c r="N353" s="1"/>
    </row>
    <row r="354" spans="1:14" ht="26.25" thickTop="1" x14ac:dyDescent="0.2">
      <c r="A354" s="1"/>
      <c r="B354" s="2" t="s">
        <v>2637</v>
      </c>
      <c r="C354" s="56" t="s">
        <v>995</v>
      </c>
      <c r="D354" s="56" t="s">
        <v>995</v>
      </c>
      <c r="E354" s="56" t="s">
        <v>995</v>
      </c>
      <c r="F354" s="56" t="s">
        <v>995</v>
      </c>
      <c r="G354" s="1"/>
      <c r="H354" s="1"/>
      <c r="I354" s="1"/>
      <c r="J354" s="1"/>
      <c r="K354" s="1"/>
      <c r="M354" s="3"/>
      <c r="N354" s="1"/>
    </row>
    <row r="355" spans="1:14" x14ac:dyDescent="0.2">
      <c r="A355" s="1"/>
      <c r="B355" s="61" t="s">
        <v>2679</v>
      </c>
      <c r="C355" s="3" t="s">
        <v>475</v>
      </c>
      <c r="D355" s="3" t="s">
        <v>476</v>
      </c>
      <c r="E355" s="3" t="s">
        <v>477</v>
      </c>
      <c r="F355" s="3" t="s">
        <v>478</v>
      </c>
      <c r="G355" s="1"/>
      <c r="H355" s="1"/>
      <c r="I355" s="1"/>
      <c r="J355" s="5" t="str">
        <f>IF(C354="x","FOUT","")</f>
        <v/>
      </c>
      <c r="K355" s="5">
        <f>ABS(IF(J355="JUIST","1","0"))</f>
        <v>0</v>
      </c>
      <c r="L355" s="3" t="s">
        <v>995</v>
      </c>
      <c r="M355" s="3"/>
      <c r="N355" s="1"/>
    </row>
    <row r="356" spans="1:14" x14ac:dyDescent="0.2">
      <c r="A356" s="1"/>
      <c r="B356" s="67" t="s">
        <v>2680</v>
      </c>
      <c r="C356" s="1"/>
      <c r="D356" s="1"/>
      <c r="E356" s="1"/>
      <c r="F356" s="1"/>
      <c r="G356" s="1"/>
      <c r="H356" s="1"/>
      <c r="I356" s="1"/>
      <c r="J356" s="5" t="str">
        <f>IF(D354="x","JUIST","")</f>
        <v/>
      </c>
      <c r="K356" s="5">
        <f>ABS(IF(J356="JUIST","1","0"))</f>
        <v>0</v>
      </c>
      <c r="L356" s="3">
        <v>1</v>
      </c>
      <c r="M356" s="3"/>
      <c r="N356" s="1"/>
    </row>
    <row r="357" spans="1:14" x14ac:dyDescent="0.2">
      <c r="A357" s="1"/>
      <c r="B357" s="1" t="s">
        <v>2638</v>
      </c>
      <c r="C357" s="1"/>
      <c r="D357" s="1"/>
      <c r="E357" s="1"/>
      <c r="F357" s="1"/>
      <c r="G357" s="1"/>
      <c r="H357" s="1"/>
      <c r="I357" s="1"/>
      <c r="J357" s="5" t="str">
        <f>IF(E354="x","FOUT","")</f>
        <v/>
      </c>
      <c r="K357" s="5">
        <f>ABS(IF(J357="JUIST","1","0"))</f>
        <v>0</v>
      </c>
      <c r="L357" s="3" t="s">
        <v>995</v>
      </c>
      <c r="M357" s="3"/>
      <c r="N357" s="1"/>
    </row>
    <row r="358" spans="1:14" x14ac:dyDescent="0.2">
      <c r="A358" s="1"/>
      <c r="B358" s="80" t="s">
        <v>333</v>
      </c>
      <c r="C358" s="1"/>
      <c r="D358" s="1"/>
      <c r="E358" s="12" t="s">
        <v>675</v>
      </c>
      <c r="F358" s="1"/>
      <c r="G358" s="1"/>
      <c r="H358" s="1"/>
      <c r="I358" s="1"/>
      <c r="J358" s="5" t="str">
        <f>IF(F354="x","FOUT","")</f>
        <v/>
      </c>
      <c r="K358" s="5">
        <f>ABS(IF(J358="JUIST","1","0"))</f>
        <v>0</v>
      </c>
      <c r="L358" s="3" t="s">
        <v>995</v>
      </c>
      <c r="M358" s="3"/>
      <c r="N358" s="1"/>
    </row>
    <row r="359" spans="1:14" x14ac:dyDescent="0.2">
      <c r="A359" s="1"/>
      <c r="B359" s="81" t="s">
        <v>895</v>
      </c>
      <c r="C359" s="1"/>
      <c r="D359" s="1"/>
      <c r="E359" s="87" t="s">
        <v>678</v>
      </c>
      <c r="F359" s="1"/>
      <c r="G359" s="1"/>
      <c r="H359" s="1"/>
      <c r="I359" s="1"/>
      <c r="J359" s="79" t="s">
        <v>995</v>
      </c>
      <c r="K359" s="1"/>
      <c r="L359" s="3"/>
      <c r="M359" s="3"/>
      <c r="N359" s="1"/>
    </row>
    <row r="360" spans="1:14" x14ac:dyDescent="0.2">
      <c r="A360" s="1"/>
      <c r="B360" s="1"/>
      <c r="C360" s="1"/>
      <c r="D360" s="1"/>
      <c r="E360" s="87" t="s">
        <v>679</v>
      </c>
      <c r="F360" s="1"/>
      <c r="G360" s="1"/>
      <c r="H360" s="1"/>
      <c r="I360" s="1"/>
      <c r="K360" s="1"/>
      <c r="L360" s="3"/>
      <c r="M360" s="3"/>
      <c r="N360" s="1"/>
    </row>
    <row r="361" spans="1:14" x14ac:dyDescent="0.2">
      <c r="A361" s="1"/>
      <c r="B361" s="82" t="s">
        <v>1033</v>
      </c>
      <c r="C361" s="318" t="s">
        <v>995</v>
      </c>
      <c r="D361" s="1"/>
      <c r="E361" s="231" t="s">
        <v>677</v>
      </c>
      <c r="F361" s="1"/>
      <c r="G361" s="1"/>
      <c r="H361" s="1"/>
      <c r="I361" s="1"/>
      <c r="J361" s="1"/>
      <c r="K361" s="1"/>
      <c r="L361" s="3"/>
      <c r="M361" s="3"/>
      <c r="N361" s="1"/>
    </row>
    <row r="362" spans="1:14" x14ac:dyDescent="0.2">
      <c r="A362" s="1"/>
      <c r="B362" s="52" t="str">
        <f>J362</f>
        <v/>
      </c>
      <c r="C362" s="1"/>
      <c r="D362" s="1"/>
      <c r="E362" s="1"/>
      <c r="F362" s="1"/>
      <c r="G362" s="1"/>
      <c r="H362" s="1"/>
      <c r="I362" s="1"/>
      <c r="J362" s="73" t="str">
        <f>IF(C361="x","Het juiste antwoord is: B","")</f>
        <v/>
      </c>
      <c r="K362" s="1"/>
      <c r="L362" s="3"/>
      <c r="M362" s="3"/>
      <c r="N362" s="1"/>
    </row>
    <row r="363" spans="1:14" x14ac:dyDescent="0.2">
      <c r="A363" s="14"/>
      <c r="B363" s="14"/>
      <c r="C363" s="14"/>
      <c r="D363" s="180"/>
      <c r="E363" s="14"/>
      <c r="F363" s="14"/>
      <c r="G363" s="14"/>
      <c r="H363" s="14"/>
      <c r="I363" s="14"/>
      <c r="J363" s="1"/>
      <c r="K363" s="1"/>
      <c r="L363" s="3"/>
      <c r="M363" s="3"/>
      <c r="N363" s="1"/>
    </row>
    <row r="364" spans="1:14" x14ac:dyDescent="0.2">
      <c r="A364" s="1"/>
      <c r="B364" s="1"/>
      <c r="C364" s="1"/>
      <c r="D364" s="174"/>
      <c r="E364" s="1"/>
      <c r="F364" s="1"/>
      <c r="G364" s="1"/>
      <c r="H364" s="1"/>
      <c r="I364" s="1"/>
      <c r="J364" s="1"/>
      <c r="K364" s="1"/>
      <c r="L364" s="3"/>
      <c r="M364" s="3"/>
      <c r="N364" s="1"/>
    </row>
    <row r="365" spans="1:14" ht="26.25" thickBot="1" x14ac:dyDescent="0.25">
      <c r="A365" s="1" t="s">
        <v>314</v>
      </c>
      <c r="B365" s="103" t="s">
        <v>2621</v>
      </c>
      <c r="C365" s="102" t="s">
        <v>446</v>
      </c>
      <c r="D365" s="102" t="s">
        <v>1623</v>
      </c>
      <c r="E365" s="526" t="s">
        <v>2119</v>
      </c>
      <c r="F365" s="527" t="s">
        <v>2120</v>
      </c>
      <c r="G365" s="1"/>
      <c r="H365" s="1"/>
      <c r="I365" s="1"/>
      <c r="J365" s="1"/>
      <c r="K365" s="1"/>
      <c r="L365" s="3"/>
      <c r="M365" s="3"/>
      <c r="N365" s="1"/>
    </row>
    <row r="366" spans="1:14" ht="26.25" thickTop="1" x14ac:dyDescent="0.2">
      <c r="A366" s="1"/>
      <c r="B366" s="2" t="s">
        <v>2622</v>
      </c>
      <c r="C366" s="56" t="s">
        <v>995</v>
      </c>
      <c r="D366" s="56" t="s">
        <v>995</v>
      </c>
      <c r="E366" s="56" t="s">
        <v>995</v>
      </c>
      <c r="F366" s="56" t="s">
        <v>995</v>
      </c>
      <c r="G366" s="1"/>
      <c r="H366" s="1"/>
      <c r="I366" s="1"/>
      <c r="J366" s="1"/>
      <c r="K366" s="1"/>
      <c r="M366" s="3"/>
      <c r="N366" s="1"/>
    </row>
    <row r="367" spans="1:14" x14ac:dyDescent="0.2">
      <c r="A367" s="1"/>
      <c r="B367" s="61" t="s">
        <v>2623</v>
      </c>
      <c r="C367" s="3" t="s">
        <v>475</v>
      </c>
      <c r="D367" s="3" t="s">
        <v>476</v>
      </c>
      <c r="E367" s="3" t="s">
        <v>477</v>
      </c>
      <c r="F367" s="3" t="s">
        <v>478</v>
      </c>
      <c r="G367" s="1"/>
      <c r="H367" s="1"/>
      <c r="I367" s="1"/>
      <c r="J367" s="5" t="str">
        <f>IF(C366="x","FOUT","")</f>
        <v/>
      </c>
      <c r="K367" s="5">
        <f>ABS(IF(J367="JUIST","1","0"))</f>
        <v>0</v>
      </c>
      <c r="L367" s="3" t="s">
        <v>995</v>
      </c>
      <c r="M367" s="3"/>
      <c r="N367" s="1"/>
    </row>
    <row r="368" spans="1:14" x14ac:dyDescent="0.2">
      <c r="A368" s="1"/>
      <c r="B368" s="1" t="s">
        <v>1498</v>
      </c>
      <c r="C368" s="1"/>
      <c r="D368" s="1"/>
      <c r="E368" s="1"/>
      <c r="F368" s="1"/>
      <c r="G368" s="1"/>
      <c r="H368" s="1"/>
      <c r="I368" s="1"/>
      <c r="J368" s="5" t="str">
        <f>IF(D366="x","FOUT","")</f>
        <v/>
      </c>
      <c r="K368" s="5">
        <f>ABS(IF(J368="JUIST","1","0"))</f>
        <v>0</v>
      </c>
      <c r="L368" s="3" t="s">
        <v>995</v>
      </c>
      <c r="M368" s="3"/>
      <c r="N368" s="1"/>
    </row>
    <row r="369" spans="1:14" x14ac:dyDescent="0.2">
      <c r="A369" s="1"/>
      <c r="B369" s="1" t="s">
        <v>2624</v>
      </c>
      <c r="C369" s="1"/>
      <c r="D369" s="1"/>
      <c r="E369" s="1"/>
      <c r="F369" s="1"/>
      <c r="G369" s="1"/>
      <c r="H369" s="1"/>
      <c r="I369" s="1"/>
      <c r="J369" s="5" t="str">
        <f>IF(E366="x","JUIST","")</f>
        <v/>
      </c>
      <c r="K369" s="5">
        <f>ABS(IF(J369="JUIST","1","0"))</f>
        <v>0</v>
      </c>
      <c r="L369" s="3">
        <v>1</v>
      </c>
      <c r="M369" s="3"/>
      <c r="N369" s="1"/>
    </row>
    <row r="370" spans="1:14" x14ac:dyDescent="0.2">
      <c r="A370" s="1"/>
      <c r="B370" s="80" t="s">
        <v>333</v>
      </c>
      <c r="C370" s="1"/>
      <c r="D370" s="1"/>
      <c r="E370" s="1"/>
      <c r="F370" s="1"/>
      <c r="G370" s="1"/>
      <c r="H370" s="1"/>
      <c r="I370" s="1"/>
      <c r="J370" s="5" t="str">
        <f>IF(F366="x","FOUT","")</f>
        <v/>
      </c>
      <c r="K370" s="5">
        <f>ABS(IF(J370="JUIST","1","0"))</f>
        <v>0</v>
      </c>
      <c r="L370" s="3" t="s">
        <v>995</v>
      </c>
      <c r="M370" s="3"/>
      <c r="N370" s="1"/>
    </row>
    <row r="371" spans="1:14" x14ac:dyDescent="0.2">
      <c r="A371" s="1"/>
      <c r="B371" s="81" t="s">
        <v>895</v>
      </c>
      <c r="C371" s="1"/>
      <c r="D371" s="1"/>
      <c r="E371" s="1"/>
      <c r="G371" s="1"/>
      <c r="H371" s="1"/>
      <c r="I371" s="1"/>
      <c r="J371" s="79" t="s">
        <v>995</v>
      </c>
      <c r="K371" s="1"/>
      <c r="L371" s="3"/>
      <c r="M371" s="5" t="s">
        <v>25</v>
      </c>
      <c r="N371" s="1"/>
    </row>
    <row r="372" spans="1:14" x14ac:dyDescent="0.2">
      <c r="A372" s="1"/>
      <c r="B372" s="1"/>
      <c r="C372" s="1"/>
      <c r="D372" s="1"/>
      <c r="E372" s="1"/>
      <c r="F372" s="12" t="s">
        <v>1228</v>
      </c>
      <c r="G372" s="1"/>
      <c r="H372" s="1"/>
      <c r="I372" s="1"/>
      <c r="K372" s="1"/>
      <c r="L372" s="3"/>
      <c r="M372" s="5" t="s">
        <v>995</v>
      </c>
      <c r="N372" s="1"/>
    </row>
    <row r="373" spans="1:14" x14ac:dyDescent="0.2">
      <c r="A373" s="1"/>
      <c r="B373" s="82" t="s">
        <v>1033</v>
      </c>
      <c r="C373" s="318" t="s">
        <v>995</v>
      </c>
      <c r="D373" s="1"/>
      <c r="E373" s="1"/>
      <c r="F373" s="231" t="s">
        <v>1224</v>
      </c>
      <c r="G373" s="1"/>
      <c r="H373" s="1"/>
      <c r="I373" s="1"/>
      <c r="J373" s="1"/>
      <c r="K373" s="1"/>
      <c r="L373" s="3"/>
      <c r="M373" s="5">
        <v>0</v>
      </c>
      <c r="N373" s="1"/>
    </row>
    <row r="374" spans="1:14" x14ac:dyDescent="0.2">
      <c r="A374" s="1"/>
      <c r="B374" s="52" t="str">
        <f>J374</f>
        <v/>
      </c>
      <c r="C374" s="1"/>
      <c r="D374" s="1"/>
      <c r="E374" s="1"/>
      <c r="F374" s="1"/>
      <c r="G374" s="1"/>
      <c r="H374" s="1"/>
      <c r="I374" s="1"/>
      <c r="J374" s="73" t="str">
        <f>IF(C373="x","Het juiste antwoord is: C","")</f>
        <v/>
      </c>
      <c r="K374" s="1"/>
      <c r="L374" s="3"/>
      <c r="M374" s="3"/>
      <c r="N374" s="1"/>
    </row>
    <row r="375" spans="1:14" x14ac:dyDescent="0.2">
      <c r="A375" s="14"/>
      <c r="B375" s="14"/>
      <c r="C375" s="14"/>
      <c r="D375" s="180"/>
      <c r="E375" s="14"/>
      <c r="F375" s="14"/>
      <c r="G375" s="14"/>
      <c r="H375" s="14"/>
      <c r="I375" s="14"/>
      <c r="J375" s="1"/>
      <c r="K375" s="1"/>
      <c r="L375" s="3"/>
      <c r="M375" s="3"/>
      <c r="N375" s="1"/>
    </row>
    <row r="376" spans="1:14" x14ac:dyDescent="0.2">
      <c r="A376" s="1"/>
      <c r="B376" s="1"/>
      <c r="C376" s="1"/>
      <c r="D376" s="1"/>
      <c r="E376" s="1"/>
      <c r="F376" s="1"/>
      <c r="G376" s="1"/>
      <c r="H376" s="1"/>
      <c r="I376" s="1"/>
      <c r="J376" s="1"/>
      <c r="K376" s="1"/>
      <c r="L376" s="3"/>
      <c r="M376" s="3"/>
      <c r="N376" s="1"/>
    </row>
    <row r="377" spans="1:14" x14ac:dyDescent="0.2">
      <c r="A377" s="1" t="s">
        <v>315</v>
      </c>
      <c r="B377" s="1" t="s">
        <v>449</v>
      </c>
      <c r="C377" s="1"/>
      <c r="D377" s="1"/>
      <c r="E377" s="1"/>
      <c r="F377" s="1"/>
      <c r="G377" s="1"/>
      <c r="H377" s="1"/>
      <c r="I377" s="1"/>
      <c r="J377" s="1"/>
      <c r="K377" s="1"/>
      <c r="L377" s="3"/>
      <c r="M377" s="3"/>
      <c r="N377" s="1"/>
    </row>
    <row r="378" spans="1:14" x14ac:dyDescent="0.2">
      <c r="A378" s="1"/>
      <c r="B378" s="1" t="s">
        <v>1499</v>
      </c>
      <c r="C378" s="1"/>
      <c r="D378" s="1"/>
      <c r="E378" s="1"/>
      <c r="F378" s="1"/>
      <c r="G378" s="1"/>
      <c r="H378" s="1"/>
      <c r="I378" s="1"/>
      <c r="J378" s="1"/>
      <c r="K378" s="1"/>
      <c r="L378" s="3"/>
      <c r="M378" s="3"/>
      <c r="N378" s="1"/>
    </row>
    <row r="379" spans="1:14" x14ac:dyDescent="0.2">
      <c r="A379" s="1"/>
      <c r="B379" s="81" t="s">
        <v>447</v>
      </c>
      <c r="C379" s="1"/>
      <c r="D379" s="1"/>
      <c r="E379" s="1"/>
      <c r="F379" s="1"/>
      <c r="G379" s="1"/>
      <c r="H379" s="1"/>
      <c r="I379" s="1"/>
      <c r="J379" s="1"/>
      <c r="K379" s="1"/>
      <c r="L379" s="3"/>
      <c r="M379" s="3"/>
      <c r="N379" s="1"/>
    </row>
    <row r="380" spans="1:14" x14ac:dyDescent="0.2">
      <c r="A380" s="1"/>
      <c r="B380" s="81" t="s">
        <v>448</v>
      </c>
      <c r="C380" s="1"/>
      <c r="D380" s="1"/>
      <c r="E380" s="1"/>
      <c r="F380" s="1"/>
      <c r="G380" s="1"/>
      <c r="H380" s="1"/>
      <c r="I380" s="1"/>
      <c r="J380" s="1"/>
      <c r="K380" s="1"/>
      <c r="L380" s="3"/>
      <c r="M380" s="3"/>
      <c r="N380" s="1"/>
    </row>
    <row r="381" spans="1:14" ht="13.5" thickBot="1" x14ac:dyDescent="0.25">
      <c r="A381" s="1"/>
      <c r="B381" s="1"/>
      <c r="C381" s="181" t="s">
        <v>457</v>
      </c>
      <c r="D381" s="181" t="s">
        <v>458</v>
      </c>
      <c r="E381" s="1"/>
      <c r="F381" s="1"/>
      <c r="G381" s="1"/>
      <c r="H381" s="1"/>
      <c r="I381" s="1"/>
      <c r="J381" s="1"/>
      <c r="K381" s="1"/>
      <c r="L381" s="3"/>
      <c r="M381" s="3"/>
      <c r="N381" s="1"/>
    </row>
    <row r="382" spans="1:14" ht="13.5" thickTop="1" x14ac:dyDescent="0.2">
      <c r="A382" s="1"/>
      <c r="B382" s="111" t="s">
        <v>2197</v>
      </c>
      <c r="C382" s="425" t="s">
        <v>995</v>
      </c>
      <c r="D382" s="425" t="s">
        <v>995</v>
      </c>
      <c r="E382" s="3">
        <f>IF(C393="x","JUIST",)</f>
        <v>0</v>
      </c>
      <c r="F382" s="1"/>
      <c r="G382" s="1"/>
      <c r="H382" s="1"/>
      <c r="I382" s="1"/>
      <c r="J382" s="5" t="str">
        <f>IF(C382="x","JUIST","")</f>
        <v/>
      </c>
      <c r="K382" s="5">
        <f>ABS(IF(J382="JUIST","1","0"))</f>
        <v>0</v>
      </c>
      <c r="L382" s="3">
        <v>1</v>
      </c>
      <c r="M382" s="3"/>
      <c r="N382" s="1"/>
    </row>
    <row r="383" spans="1:14" x14ac:dyDescent="0.2">
      <c r="A383" s="1"/>
      <c r="B383" s="111" t="s">
        <v>450</v>
      </c>
      <c r="C383" s="318" t="s">
        <v>995</v>
      </c>
      <c r="D383" s="318" t="s">
        <v>995</v>
      </c>
      <c r="E383" s="3">
        <f>IF(C393="x","ONJUIST",)</f>
        <v>0</v>
      </c>
      <c r="F383" s="1"/>
      <c r="G383" s="1"/>
      <c r="H383" s="1"/>
      <c r="I383" s="1"/>
      <c r="J383" s="5" t="str">
        <f>IF(D383="x","JUIST","")</f>
        <v/>
      </c>
      <c r="K383" s="5">
        <f t="shared" ref="K383:K391" si="2">ABS(IF(J383="JUIST","1","0"))</f>
        <v>0</v>
      </c>
      <c r="L383" s="3">
        <v>1</v>
      </c>
      <c r="M383" s="3"/>
      <c r="N383" s="1"/>
    </row>
    <row r="384" spans="1:14" x14ac:dyDescent="0.2">
      <c r="A384" s="1"/>
      <c r="B384" s="111" t="s">
        <v>451</v>
      </c>
      <c r="C384" s="318" t="s">
        <v>995</v>
      </c>
      <c r="D384" s="318" t="s">
        <v>995</v>
      </c>
      <c r="E384" s="3">
        <f>IF(C393="x","JUIST",)</f>
        <v>0</v>
      </c>
      <c r="F384" s="1"/>
      <c r="G384" s="1"/>
      <c r="H384" s="1"/>
      <c r="I384" s="1"/>
      <c r="J384" s="5" t="str">
        <f>IF(C384="x","JUIST","")</f>
        <v/>
      </c>
      <c r="K384" s="5">
        <f t="shared" si="2"/>
        <v>0</v>
      </c>
      <c r="L384" s="3">
        <v>1</v>
      </c>
      <c r="M384" s="3"/>
      <c r="N384" s="1"/>
    </row>
    <row r="385" spans="1:14" x14ac:dyDescent="0.2">
      <c r="A385" s="1"/>
      <c r="B385" s="111" t="s">
        <v>452</v>
      </c>
      <c r="C385" s="318" t="s">
        <v>995</v>
      </c>
      <c r="D385" s="318" t="s">
        <v>995</v>
      </c>
      <c r="E385" s="3">
        <f>IF(C393="x","JUIST",)</f>
        <v>0</v>
      </c>
      <c r="F385" s="1"/>
      <c r="G385" s="1"/>
      <c r="H385" s="1"/>
      <c r="I385" s="1"/>
      <c r="J385" s="5" t="str">
        <f>IF(C385="x","JUIST","")</f>
        <v/>
      </c>
      <c r="K385" s="5">
        <f t="shared" si="2"/>
        <v>0</v>
      </c>
      <c r="L385" s="3">
        <v>1</v>
      </c>
      <c r="M385" s="3"/>
      <c r="N385" s="1"/>
    </row>
    <row r="386" spans="1:14" x14ac:dyDescent="0.2">
      <c r="A386" s="1"/>
      <c r="B386" s="111" t="s">
        <v>453</v>
      </c>
      <c r="C386" s="318" t="s">
        <v>995</v>
      </c>
      <c r="D386" s="318" t="s">
        <v>995</v>
      </c>
      <c r="E386" s="3">
        <f>IF(C393="x","ONJUIST",)</f>
        <v>0</v>
      </c>
      <c r="F386" s="1"/>
      <c r="G386" s="1"/>
      <c r="H386" s="1"/>
      <c r="I386" s="1"/>
      <c r="J386" s="5" t="str">
        <f>IF(D386="x","JUIST","")</f>
        <v/>
      </c>
      <c r="K386" s="5">
        <f t="shared" si="2"/>
        <v>0</v>
      </c>
      <c r="L386" s="3">
        <v>1</v>
      </c>
      <c r="M386" s="3"/>
      <c r="N386" s="1"/>
    </row>
    <row r="387" spans="1:14" x14ac:dyDescent="0.2">
      <c r="A387" s="1"/>
      <c r="B387" s="111" t="s">
        <v>454</v>
      </c>
      <c r="C387" s="318" t="s">
        <v>995</v>
      </c>
      <c r="D387" s="318" t="s">
        <v>995</v>
      </c>
      <c r="E387" s="3">
        <f>IF(C393="x","JUIST",)</f>
        <v>0</v>
      </c>
      <c r="F387" s="1"/>
      <c r="G387" s="1"/>
      <c r="H387" s="1"/>
      <c r="I387" s="1"/>
      <c r="J387" s="5" t="str">
        <f>IF(C387="x","JUIST","")</f>
        <v/>
      </c>
      <c r="K387" s="5">
        <f t="shared" si="2"/>
        <v>0</v>
      </c>
      <c r="L387" s="3">
        <v>1</v>
      </c>
      <c r="M387" s="3"/>
      <c r="N387" s="1"/>
    </row>
    <row r="388" spans="1:14" x14ac:dyDescent="0.2">
      <c r="A388" s="1"/>
      <c r="B388" s="111" t="s">
        <v>455</v>
      </c>
      <c r="C388" s="318" t="s">
        <v>995</v>
      </c>
      <c r="D388" s="318" t="s">
        <v>995</v>
      </c>
      <c r="E388" s="3">
        <f>IF(C393="x","JUIST",)</f>
        <v>0</v>
      </c>
      <c r="F388" s="1"/>
      <c r="G388" s="1"/>
      <c r="H388" s="1"/>
      <c r="I388" s="1"/>
      <c r="J388" s="5" t="str">
        <f>IF(C388="x","JUIST","")</f>
        <v/>
      </c>
      <c r="K388" s="5">
        <f t="shared" si="2"/>
        <v>0</v>
      </c>
      <c r="L388" s="3">
        <v>1</v>
      </c>
      <c r="M388" s="3"/>
      <c r="N388" s="1"/>
    </row>
    <row r="389" spans="1:14" x14ac:dyDescent="0.2">
      <c r="A389" s="1"/>
      <c r="B389" s="111" t="s">
        <v>456</v>
      </c>
      <c r="C389" s="318" t="s">
        <v>995</v>
      </c>
      <c r="D389" s="318" t="s">
        <v>995</v>
      </c>
      <c r="E389" s="3">
        <f>IF(C393="x","ONJUIST",)</f>
        <v>0</v>
      </c>
      <c r="F389" s="1"/>
      <c r="G389" s="1"/>
      <c r="H389" s="1"/>
      <c r="I389" s="1"/>
      <c r="J389" s="5" t="str">
        <f>IF(D389="x","JUIST","")</f>
        <v/>
      </c>
      <c r="K389" s="5">
        <f t="shared" si="2"/>
        <v>0</v>
      </c>
      <c r="L389" s="3">
        <v>1</v>
      </c>
      <c r="M389" s="3"/>
      <c r="N389" s="1"/>
    </row>
    <row r="390" spans="1:14" x14ac:dyDescent="0.2">
      <c r="A390" s="1"/>
      <c r="B390" s="568" t="s">
        <v>2198</v>
      </c>
      <c r="C390" s="318" t="s">
        <v>995</v>
      </c>
      <c r="D390" s="318" t="s">
        <v>995</v>
      </c>
      <c r="E390" s="3">
        <f>IF(C393="x","JUIST",)</f>
        <v>0</v>
      </c>
      <c r="F390" s="1"/>
      <c r="G390" s="1"/>
      <c r="H390" s="1"/>
      <c r="I390" s="1"/>
      <c r="J390" s="5" t="str">
        <f>IF(C390="x","JUIST","")</f>
        <v/>
      </c>
      <c r="K390" s="5">
        <f t="shared" si="2"/>
        <v>0</v>
      </c>
      <c r="L390" s="3">
        <v>1</v>
      </c>
      <c r="M390" s="3"/>
      <c r="N390" s="1"/>
    </row>
    <row r="391" spans="1:14" x14ac:dyDescent="0.2">
      <c r="A391" s="1"/>
      <c r="B391" s="111" t="s">
        <v>2199</v>
      </c>
      <c r="C391" s="318" t="s">
        <v>995</v>
      </c>
      <c r="D391" s="318" t="s">
        <v>995</v>
      </c>
      <c r="E391" s="3">
        <f>IF(C393="x","JUIST",)</f>
        <v>0</v>
      </c>
      <c r="F391" s="1"/>
      <c r="G391" s="1"/>
      <c r="H391" s="1"/>
      <c r="I391" s="1"/>
      <c r="J391" s="5" t="str">
        <f>IF(C391="x","JUIST","")</f>
        <v/>
      </c>
      <c r="K391" s="5">
        <f t="shared" si="2"/>
        <v>0</v>
      </c>
      <c r="L391" s="3">
        <v>1</v>
      </c>
      <c r="M391" s="3"/>
      <c r="N391" s="1"/>
    </row>
    <row r="392" spans="1:14" x14ac:dyDescent="0.2">
      <c r="A392" s="1"/>
      <c r="B392" s="205"/>
      <c r="C392" s="198"/>
      <c r="D392" s="198"/>
      <c r="E392" s="1"/>
      <c r="F392" s="1"/>
      <c r="G392" s="1"/>
      <c r="H392" s="1"/>
      <c r="I392" s="1"/>
      <c r="J392" s="79"/>
      <c r="K392" s="79"/>
      <c r="L392" s="3"/>
      <c r="M392" s="3"/>
      <c r="N392" s="1"/>
    </row>
    <row r="393" spans="1:14" x14ac:dyDescent="0.2">
      <c r="A393" s="1"/>
      <c r="B393" s="82" t="s">
        <v>627</v>
      </c>
      <c r="C393" s="318" t="s">
        <v>995</v>
      </c>
      <c r="D393" s="198"/>
      <c r="E393" s="1"/>
      <c r="F393" s="1"/>
      <c r="G393" s="1"/>
      <c r="H393" s="1"/>
      <c r="I393" s="1"/>
      <c r="J393" s="79"/>
      <c r="K393" s="79"/>
      <c r="L393" s="3"/>
      <c r="M393" s="3"/>
      <c r="N393" s="1"/>
    </row>
    <row r="394" spans="1:14" x14ac:dyDescent="0.2">
      <c r="A394" s="1"/>
      <c r="B394" s="1"/>
      <c r="C394" s="1"/>
      <c r="D394" s="1"/>
      <c r="E394" s="1"/>
      <c r="F394" s="1"/>
      <c r="G394" s="1"/>
      <c r="H394" s="1"/>
      <c r="I394" s="1"/>
      <c r="J394" s="1"/>
      <c r="K394" s="1"/>
      <c r="L394" s="3"/>
      <c r="M394" s="3"/>
      <c r="N394" s="1"/>
    </row>
    <row r="395" spans="1:14" x14ac:dyDescent="0.2">
      <c r="A395" s="14"/>
      <c r="B395" s="14"/>
      <c r="C395" s="14"/>
      <c r="D395" s="180"/>
      <c r="E395" s="14"/>
      <c r="F395" s="14"/>
      <c r="G395" s="14"/>
      <c r="H395" s="14"/>
      <c r="I395" s="14"/>
      <c r="J395" s="1"/>
      <c r="K395" s="1"/>
      <c r="L395" s="3"/>
      <c r="M395" s="3"/>
      <c r="N395" s="1"/>
    </row>
    <row r="396" spans="1:14" x14ac:dyDescent="0.2">
      <c r="A396" s="1"/>
      <c r="B396" s="1"/>
      <c r="C396" s="1"/>
      <c r="D396" s="1"/>
      <c r="E396" s="1"/>
      <c r="F396" s="1"/>
      <c r="G396" s="1"/>
      <c r="H396" s="1"/>
      <c r="I396" s="1"/>
      <c r="J396" s="1"/>
      <c r="K396" s="1"/>
      <c r="L396" s="3"/>
      <c r="M396" s="3"/>
      <c r="N396" s="1"/>
    </row>
    <row r="397" spans="1:14" x14ac:dyDescent="0.2">
      <c r="A397" s="1" t="s">
        <v>324</v>
      </c>
      <c r="B397" s="1" t="s">
        <v>1660</v>
      </c>
      <c r="C397" s="1"/>
      <c r="D397" s="1"/>
      <c r="E397" s="1"/>
      <c r="F397" s="1"/>
      <c r="G397" s="1"/>
      <c r="H397" s="1"/>
      <c r="I397" s="1"/>
      <c r="J397" s="1"/>
      <c r="K397" s="1"/>
      <c r="L397" s="3"/>
      <c r="M397" s="3"/>
      <c r="N397" s="1"/>
    </row>
    <row r="398" spans="1:14" x14ac:dyDescent="0.2">
      <c r="A398" s="1"/>
      <c r="B398" s="81" t="s">
        <v>1661</v>
      </c>
      <c r="C398" s="1"/>
      <c r="D398" s="1"/>
      <c r="E398" s="1"/>
      <c r="F398" s="1"/>
      <c r="G398" s="1"/>
      <c r="H398" s="1"/>
      <c r="I398" s="1"/>
      <c r="J398" s="1"/>
      <c r="K398" s="1"/>
      <c r="L398" s="3"/>
      <c r="M398" s="3"/>
      <c r="N398" s="1"/>
    </row>
    <row r="399" spans="1:14" x14ac:dyDescent="0.2">
      <c r="A399" s="1"/>
      <c r="B399" s="81" t="s">
        <v>1662</v>
      </c>
      <c r="C399" s="1"/>
      <c r="D399" s="1"/>
      <c r="E399" s="1"/>
      <c r="F399" s="1"/>
      <c r="G399" s="1"/>
      <c r="H399" s="1"/>
      <c r="I399" s="1"/>
      <c r="J399" s="1"/>
      <c r="K399" s="1"/>
      <c r="L399" s="3"/>
      <c r="M399" s="3"/>
      <c r="N399" s="1"/>
    </row>
    <row r="400" spans="1:14" x14ac:dyDescent="0.2">
      <c r="A400" s="1"/>
      <c r="B400" s="81" t="s">
        <v>0</v>
      </c>
      <c r="C400" s="1"/>
      <c r="D400" s="1"/>
      <c r="E400" s="1"/>
      <c r="F400" s="1"/>
      <c r="G400" s="1"/>
      <c r="H400" s="1"/>
      <c r="I400" s="1"/>
      <c r="J400" s="1"/>
      <c r="K400" s="1"/>
      <c r="L400" s="3"/>
      <c r="M400" s="3"/>
      <c r="N400" s="1"/>
    </row>
    <row r="401" spans="1:14" x14ac:dyDescent="0.2">
      <c r="A401" s="1"/>
      <c r="B401" s="1"/>
      <c r="C401" s="1"/>
      <c r="D401" s="1"/>
      <c r="E401" s="1"/>
      <c r="F401" s="1"/>
      <c r="G401" s="1"/>
      <c r="H401" s="1"/>
      <c r="I401" s="1"/>
      <c r="J401" s="1"/>
      <c r="K401" s="1"/>
      <c r="L401" s="3"/>
      <c r="M401" s="3"/>
      <c r="N401" s="1"/>
    </row>
    <row r="402" spans="1:14" ht="13.35" customHeight="1" x14ac:dyDescent="0.2">
      <c r="A402" s="1"/>
      <c r="B402" s="601" t="s">
        <v>459</v>
      </c>
      <c r="C402" s="601"/>
      <c r="D402" s="601"/>
      <c r="E402" s="1"/>
      <c r="F402" s="1"/>
      <c r="G402" s="1"/>
      <c r="H402" s="1"/>
      <c r="I402" s="1"/>
      <c r="J402" s="1"/>
      <c r="K402" s="1"/>
      <c r="L402" s="3"/>
      <c r="M402" s="3"/>
      <c r="N402" s="1"/>
    </row>
    <row r="403" spans="1:14" x14ac:dyDescent="0.2">
      <c r="A403" s="1"/>
      <c r="B403" s="601" t="s">
        <v>460</v>
      </c>
      <c r="C403" s="601"/>
      <c r="D403" s="601"/>
      <c r="E403" s="1"/>
      <c r="F403" s="1"/>
      <c r="G403" s="1"/>
      <c r="H403" s="1"/>
      <c r="I403" s="1"/>
      <c r="J403" s="1"/>
      <c r="K403" s="1"/>
      <c r="L403" s="3"/>
      <c r="M403" s="3"/>
      <c r="N403" s="1"/>
    </row>
    <row r="404" spans="1:14" ht="25.5" x14ac:dyDescent="0.2">
      <c r="A404" s="1"/>
      <c r="B404" s="183" t="s">
        <v>461</v>
      </c>
      <c r="C404" s="182" t="s">
        <v>462</v>
      </c>
      <c r="D404" s="182" t="s">
        <v>463</v>
      </c>
      <c r="E404" s="1"/>
      <c r="F404" s="1"/>
      <c r="G404" s="1"/>
      <c r="H404" s="1"/>
      <c r="I404" s="1"/>
      <c r="J404" s="1"/>
      <c r="K404" s="1"/>
      <c r="L404" s="3"/>
      <c r="M404" s="3"/>
      <c r="N404" s="1"/>
    </row>
    <row r="405" spans="1:14" x14ac:dyDescent="0.2">
      <c r="A405" s="5" t="s">
        <v>475</v>
      </c>
      <c r="B405" s="183" t="s">
        <v>464</v>
      </c>
      <c r="C405" s="182">
        <v>4700</v>
      </c>
      <c r="D405" s="184">
        <v>16612</v>
      </c>
      <c r="E405" s="10" t="s">
        <v>995</v>
      </c>
      <c r="F405" s="3" t="str">
        <f>IF(C415="x",M405,"")</f>
        <v/>
      </c>
      <c r="G405" s="1"/>
      <c r="H405" s="1"/>
      <c r="I405" s="1"/>
      <c r="J405" s="5" t="str">
        <f>IF(E405="x","FOUT","")</f>
        <v/>
      </c>
      <c r="K405" s="5">
        <f t="shared" ref="K405:K413" si="3">ABS(IF(J405="JUIST","1","0"))</f>
        <v>0</v>
      </c>
      <c r="L405" s="3" t="s">
        <v>995</v>
      </c>
      <c r="M405" s="3" t="s">
        <v>306</v>
      </c>
      <c r="N405" s="1"/>
    </row>
    <row r="406" spans="1:14" x14ac:dyDescent="0.2">
      <c r="A406" s="5" t="s">
        <v>476</v>
      </c>
      <c r="B406" s="183" t="s">
        <v>465</v>
      </c>
      <c r="C406" s="182" t="s">
        <v>466</v>
      </c>
      <c r="D406" s="182" t="s">
        <v>467</v>
      </c>
      <c r="E406" s="10" t="s">
        <v>995</v>
      </c>
      <c r="F406" s="3" t="str">
        <f>IF(C415="x",M406,"")</f>
        <v/>
      </c>
      <c r="G406" s="1"/>
      <c r="H406" s="1"/>
      <c r="I406" s="1"/>
      <c r="J406" s="5" t="str">
        <f>IF(E406="x","deels ok","")</f>
        <v/>
      </c>
      <c r="K406" s="5">
        <f>ABS(IF(J406="deels ok","0,5","0"))</f>
        <v>0</v>
      </c>
      <c r="L406" s="3">
        <v>0.5</v>
      </c>
      <c r="M406" s="3" t="s">
        <v>1781</v>
      </c>
      <c r="N406" s="1"/>
    </row>
    <row r="407" spans="1:14" x14ac:dyDescent="0.2">
      <c r="A407" s="5" t="s">
        <v>477</v>
      </c>
      <c r="B407" s="183" t="s">
        <v>468</v>
      </c>
      <c r="C407" s="182">
        <v>44</v>
      </c>
      <c r="D407" s="182">
        <v>5</v>
      </c>
      <c r="E407" s="10" t="s">
        <v>995</v>
      </c>
      <c r="F407" s="3" t="str">
        <f>IF(C415="x",M407,"")</f>
        <v/>
      </c>
      <c r="G407" s="1"/>
      <c r="H407" s="1"/>
      <c r="I407" s="1"/>
      <c r="J407" s="5" t="str">
        <f>IF(E407="x","JUIST","")</f>
        <v/>
      </c>
      <c r="K407" s="5">
        <f t="shared" si="3"/>
        <v>0</v>
      </c>
      <c r="L407" s="3">
        <v>1</v>
      </c>
      <c r="M407" s="3" t="s">
        <v>304</v>
      </c>
      <c r="N407" s="1"/>
    </row>
    <row r="408" spans="1:14" x14ac:dyDescent="0.2">
      <c r="A408" s="5" t="s">
        <v>478</v>
      </c>
      <c r="B408" s="183" t="s">
        <v>469</v>
      </c>
      <c r="C408" s="182">
        <v>46</v>
      </c>
      <c r="D408" s="182">
        <v>61</v>
      </c>
      <c r="E408" s="10" t="s">
        <v>995</v>
      </c>
      <c r="F408" s="3" t="str">
        <f>IF(C415="x",M408,"")</f>
        <v/>
      </c>
      <c r="G408" s="1"/>
      <c r="H408" s="1"/>
      <c r="I408" s="1"/>
      <c r="J408" s="5" t="str">
        <f>IF(E408="x","deels ok","")</f>
        <v/>
      </c>
      <c r="K408" s="5">
        <f>ABS(IF(J408="deels ok","0,5","0"))</f>
        <v>0</v>
      </c>
      <c r="L408" s="3">
        <v>0.5</v>
      </c>
      <c r="M408" s="3" t="s">
        <v>1781</v>
      </c>
      <c r="N408" s="1"/>
    </row>
    <row r="409" spans="1:14" x14ac:dyDescent="0.2">
      <c r="A409" s="5" t="s">
        <v>479</v>
      </c>
      <c r="B409" s="183" t="s">
        <v>470</v>
      </c>
      <c r="C409" s="182">
        <v>9</v>
      </c>
      <c r="D409" s="182">
        <v>35</v>
      </c>
      <c r="E409" s="10" t="s">
        <v>995</v>
      </c>
      <c r="F409" s="3" t="str">
        <f>IF(C415="x",M409,"")</f>
        <v/>
      </c>
      <c r="G409" s="1"/>
      <c r="H409" s="1"/>
      <c r="I409" s="1"/>
      <c r="J409" s="5" t="str">
        <f>IF(E409="x","JUIST","")</f>
        <v/>
      </c>
      <c r="K409" s="5">
        <f t="shared" si="3"/>
        <v>0</v>
      </c>
      <c r="L409" s="3">
        <v>1</v>
      </c>
      <c r="M409" s="3" t="s">
        <v>304</v>
      </c>
      <c r="N409" s="1"/>
    </row>
    <row r="410" spans="1:14" x14ac:dyDescent="0.2">
      <c r="A410" s="5" t="s">
        <v>480</v>
      </c>
      <c r="B410" s="183" t="s">
        <v>471</v>
      </c>
      <c r="C410" s="182">
        <v>17</v>
      </c>
      <c r="D410" s="182">
        <v>3</v>
      </c>
      <c r="E410" s="10" t="s">
        <v>995</v>
      </c>
      <c r="F410" s="3" t="str">
        <f>IF(C415="x",M410,"")</f>
        <v/>
      </c>
      <c r="G410" s="1"/>
      <c r="H410" s="1"/>
      <c r="I410" s="1"/>
      <c r="J410" s="5" t="str">
        <f>IF(E410="x","deels ok","")</f>
        <v/>
      </c>
      <c r="K410" s="5">
        <f>ABS(IF(J410="deels ok","0,5","0"))</f>
        <v>0</v>
      </c>
      <c r="L410" s="3">
        <v>0.5</v>
      </c>
      <c r="M410" s="3" t="s">
        <v>1781</v>
      </c>
      <c r="N410" s="1"/>
    </row>
    <row r="411" spans="1:14" x14ac:dyDescent="0.2">
      <c r="A411" s="5" t="s">
        <v>481</v>
      </c>
      <c r="B411" s="183" t="s">
        <v>472</v>
      </c>
      <c r="C411" s="182">
        <v>18</v>
      </c>
      <c r="D411" s="182">
        <v>8</v>
      </c>
      <c r="E411" s="10" t="s">
        <v>995</v>
      </c>
      <c r="F411" s="3" t="str">
        <f>IF(C415="x",M411,"")</f>
        <v/>
      </c>
      <c r="G411" s="1"/>
      <c r="H411" s="1"/>
      <c r="I411" s="1"/>
      <c r="J411" s="5" t="str">
        <f>IF(E411="x","JUIST","")</f>
        <v/>
      </c>
      <c r="K411" s="5">
        <f t="shared" si="3"/>
        <v>0</v>
      </c>
      <c r="L411" s="3">
        <v>1</v>
      </c>
      <c r="M411" s="3" t="s">
        <v>304</v>
      </c>
      <c r="N411" s="1"/>
    </row>
    <row r="412" spans="1:14" x14ac:dyDescent="0.2">
      <c r="A412" s="5" t="s">
        <v>482</v>
      </c>
      <c r="B412" s="183" t="s">
        <v>473</v>
      </c>
      <c r="C412" s="182" t="s">
        <v>2200</v>
      </c>
      <c r="D412" s="182" t="s">
        <v>2201</v>
      </c>
      <c r="E412" s="10" t="s">
        <v>995</v>
      </c>
      <c r="F412" s="3" t="str">
        <f>IF(C415="x",M412,"")</f>
        <v/>
      </c>
      <c r="G412" s="1"/>
      <c r="H412" s="1"/>
      <c r="I412" s="1"/>
      <c r="J412" s="5" t="str">
        <f>IF(E412="x","FOUT","")</f>
        <v/>
      </c>
      <c r="K412" s="5">
        <f t="shared" si="3"/>
        <v>0</v>
      </c>
      <c r="L412" s="3"/>
      <c r="M412" s="3" t="s">
        <v>306</v>
      </c>
      <c r="N412" s="1"/>
    </row>
    <row r="413" spans="1:14" x14ac:dyDescent="0.2">
      <c r="A413" s="5" t="s">
        <v>483</v>
      </c>
      <c r="B413" s="183" t="s">
        <v>474</v>
      </c>
      <c r="C413" s="182">
        <v>2.9</v>
      </c>
      <c r="D413" s="182">
        <v>5.4</v>
      </c>
      <c r="E413" s="10" t="s">
        <v>995</v>
      </c>
      <c r="F413" s="3" t="str">
        <f>IF(C415="x",M413,"")</f>
        <v/>
      </c>
      <c r="G413" s="1"/>
      <c r="H413" s="1"/>
      <c r="I413" s="1"/>
      <c r="J413" s="5" t="str">
        <f>IF(E413="x","FOUT","")</f>
        <v/>
      </c>
      <c r="K413" s="5">
        <f t="shared" si="3"/>
        <v>0</v>
      </c>
      <c r="L413" s="3"/>
      <c r="M413" s="3" t="s">
        <v>306</v>
      </c>
      <c r="N413" s="1"/>
    </row>
    <row r="414" spans="1:14" x14ac:dyDescent="0.2">
      <c r="A414" s="1"/>
      <c r="B414" s="1"/>
      <c r="C414" s="1"/>
      <c r="D414" s="1"/>
      <c r="E414" s="1"/>
      <c r="F414" s="1"/>
      <c r="G414" s="1"/>
      <c r="H414" s="1"/>
      <c r="I414" s="1"/>
      <c r="J414" s="1"/>
      <c r="K414" s="1"/>
      <c r="L414" s="3"/>
      <c r="M414" s="3"/>
      <c r="N414" s="1"/>
    </row>
    <row r="415" spans="1:14" x14ac:dyDescent="0.2">
      <c r="A415" s="1"/>
      <c r="B415" s="82" t="s">
        <v>627</v>
      </c>
      <c r="C415" s="318" t="s">
        <v>995</v>
      </c>
      <c r="D415" s="1"/>
      <c r="E415" s="1"/>
      <c r="F415" s="1"/>
      <c r="G415" s="1"/>
      <c r="H415" s="1"/>
      <c r="I415" s="1"/>
      <c r="J415" s="1"/>
      <c r="K415" s="1"/>
      <c r="L415" s="3"/>
      <c r="M415" s="3"/>
      <c r="N415" s="1"/>
    </row>
    <row r="416" spans="1:14" x14ac:dyDescent="0.2">
      <c r="A416" s="1"/>
      <c r="B416" s="52" t="s">
        <v>995</v>
      </c>
      <c r="C416" s="1"/>
      <c r="D416" s="1"/>
      <c r="E416" s="1"/>
      <c r="F416" s="1"/>
      <c r="G416" s="1"/>
      <c r="H416" s="1"/>
      <c r="I416" s="1"/>
      <c r="J416" s="120" t="s">
        <v>995</v>
      </c>
      <c r="K416" s="1"/>
      <c r="L416" s="3"/>
      <c r="M416" s="3"/>
      <c r="N416" s="1"/>
    </row>
    <row r="417" spans="1:14" x14ac:dyDescent="0.2">
      <c r="A417" s="14"/>
      <c r="B417" s="14"/>
      <c r="C417" s="14"/>
      <c r="D417" s="180"/>
      <c r="E417" s="14"/>
      <c r="F417" s="14"/>
      <c r="G417" s="14"/>
      <c r="H417" s="14"/>
      <c r="I417" s="14"/>
      <c r="J417" s="1"/>
      <c r="K417" s="1"/>
      <c r="L417" s="3"/>
      <c r="M417" s="3"/>
      <c r="N417" s="1"/>
    </row>
    <row r="418" spans="1:14" x14ac:dyDescent="0.2">
      <c r="A418" s="1"/>
      <c r="B418" s="1"/>
      <c r="C418" s="1"/>
      <c r="D418" s="1"/>
      <c r="E418" s="1"/>
      <c r="F418" s="1"/>
      <c r="G418" s="1"/>
      <c r="H418" s="1"/>
      <c r="I418" s="1"/>
      <c r="J418" s="1"/>
      <c r="K418" s="1"/>
      <c r="L418" s="3"/>
      <c r="M418" s="3"/>
      <c r="N418" s="1"/>
    </row>
    <row r="419" spans="1:14" x14ac:dyDescent="0.2">
      <c r="A419" s="1" t="s">
        <v>334</v>
      </c>
      <c r="B419" s="1" t="s">
        <v>12</v>
      </c>
      <c r="C419" s="61" t="s">
        <v>1679</v>
      </c>
      <c r="D419" s="1"/>
      <c r="E419" s="1"/>
      <c r="F419" s="1"/>
      <c r="G419" s="1"/>
      <c r="H419" s="1"/>
      <c r="I419" s="1"/>
      <c r="J419" s="1"/>
      <c r="K419" s="1"/>
      <c r="L419" s="3"/>
      <c r="M419" s="3"/>
      <c r="N419" s="1"/>
    </row>
    <row r="420" spans="1:14" x14ac:dyDescent="0.2">
      <c r="A420" s="1"/>
      <c r="B420" s="81" t="s">
        <v>1682</v>
      </c>
      <c r="C420" s="61" t="s">
        <v>1681</v>
      </c>
      <c r="D420" s="1"/>
      <c r="E420" s="1"/>
      <c r="F420" s="1"/>
      <c r="G420" s="1"/>
      <c r="H420" s="1"/>
      <c r="I420" s="1"/>
      <c r="J420" s="1"/>
      <c r="K420" s="1"/>
      <c r="L420" s="3"/>
      <c r="M420" s="3"/>
      <c r="N420" s="1"/>
    </row>
    <row r="421" spans="1:14" ht="13.5" thickBot="1" x14ac:dyDescent="0.25">
      <c r="A421" s="1"/>
      <c r="B421" s="106" t="s">
        <v>2202</v>
      </c>
      <c r="C421" s="1"/>
      <c r="D421" s="1"/>
      <c r="E421" s="1"/>
      <c r="F421" s="1"/>
      <c r="G421" s="1"/>
      <c r="H421" s="1"/>
      <c r="I421" s="1"/>
      <c r="J421" s="1"/>
      <c r="K421" s="1"/>
      <c r="L421" s="3"/>
      <c r="M421" s="3"/>
      <c r="N421" s="1"/>
    </row>
    <row r="422" spans="1:14" ht="27" customHeight="1" thickTop="1" x14ac:dyDescent="0.2">
      <c r="A422" s="1"/>
      <c r="B422" s="80" t="s">
        <v>2203</v>
      </c>
      <c r="C422" s="189" t="s">
        <v>1676</v>
      </c>
      <c r="D422" s="191" t="s">
        <v>995</v>
      </c>
      <c r="E422" s="192"/>
      <c r="F422" s="192" t="s">
        <v>995</v>
      </c>
      <c r="G422" s="193" t="s">
        <v>995</v>
      </c>
      <c r="H422" s="1"/>
      <c r="I422" s="1"/>
      <c r="J422" s="5" t="str">
        <f>IF(G422="x","JUIST","")</f>
        <v/>
      </c>
      <c r="K422" s="5">
        <f>ABS(IF(J422="JUIST","1","0"))</f>
        <v>0</v>
      </c>
      <c r="L422" s="3">
        <v>1</v>
      </c>
      <c r="M422" s="3"/>
      <c r="N422" s="1"/>
    </row>
    <row r="423" spans="1:14" ht="27" customHeight="1" x14ac:dyDescent="0.2">
      <c r="A423" s="1"/>
      <c r="B423" s="188" t="s">
        <v>2204</v>
      </c>
      <c r="C423" s="189" t="s">
        <v>1675</v>
      </c>
      <c r="D423" s="194"/>
      <c r="E423" s="24"/>
      <c r="F423" s="24" t="s">
        <v>995</v>
      </c>
      <c r="G423" s="35" t="s">
        <v>995</v>
      </c>
      <c r="H423" s="1"/>
      <c r="I423" s="1"/>
      <c r="J423" s="5" t="str">
        <f>IF(G423="x","deels ok","")</f>
        <v/>
      </c>
      <c r="K423" s="5">
        <f>ABS(IF(J423="deels ok","0,5","0"))</f>
        <v>0</v>
      </c>
      <c r="L423" s="3">
        <v>0.5</v>
      </c>
      <c r="M423" s="3"/>
      <c r="N423" s="1"/>
    </row>
    <row r="424" spans="1:14" ht="27" customHeight="1" x14ac:dyDescent="0.2">
      <c r="A424" s="1"/>
      <c r="B424" s="1" t="s">
        <v>995</v>
      </c>
      <c r="C424" s="189" t="s">
        <v>1677</v>
      </c>
      <c r="D424" s="194"/>
      <c r="E424" s="24"/>
      <c r="F424" s="24" t="s">
        <v>995</v>
      </c>
      <c r="G424" s="35" t="s">
        <v>995</v>
      </c>
      <c r="H424" s="1"/>
      <c r="I424" s="1"/>
      <c r="J424" s="1"/>
      <c r="K424" s="1"/>
      <c r="L424" s="3"/>
      <c r="M424" s="3"/>
      <c r="N424" s="1"/>
    </row>
    <row r="425" spans="1:14" ht="27" customHeight="1" thickBot="1" x14ac:dyDescent="0.25">
      <c r="A425" s="1"/>
      <c r="B425" s="1" t="s">
        <v>2205</v>
      </c>
      <c r="C425" s="189" t="s">
        <v>1678</v>
      </c>
      <c r="D425" s="195" t="s">
        <v>995</v>
      </c>
      <c r="E425" s="196"/>
      <c r="F425" s="196" t="s">
        <v>995</v>
      </c>
      <c r="G425" s="197" t="s">
        <v>995</v>
      </c>
      <c r="H425" s="1"/>
      <c r="I425" s="1"/>
      <c r="J425" s="1"/>
      <c r="K425" s="1"/>
      <c r="L425" s="3"/>
      <c r="M425" s="3"/>
      <c r="N425" s="1"/>
    </row>
    <row r="426" spans="1:14" ht="13.5" thickTop="1" x14ac:dyDescent="0.2">
      <c r="A426" s="1"/>
      <c r="B426" s="1" t="s">
        <v>3</v>
      </c>
      <c r="C426" s="1"/>
      <c r="D426" s="190"/>
      <c r="E426" s="190"/>
      <c r="F426" s="190"/>
      <c r="G426" s="190"/>
      <c r="H426" s="1"/>
      <c r="I426" s="1"/>
      <c r="J426" s="1"/>
      <c r="K426" s="1"/>
      <c r="L426" s="3"/>
      <c r="M426" s="3"/>
      <c r="N426" s="1"/>
    </row>
    <row r="427" spans="1:14" x14ac:dyDescent="0.2">
      <c r="A427" s="1"/>
      <c r="B427" s="1" t="s">
        <v>2206</v>
      </c>
      <c r="C427" s="1"/>
      <c r="D427" s="187" t="s">
        <v>1678</v>
      </c>
      <c r="E427" s="187" t="s">
        <v>1677</v>
      </c>
      <c r="F427" s="187" t="s">
        <v>1675</v>
      </c>
      <c r="G427" s="187" t="s">
        <v>1676</v>
      </c>
      <c r="H427" s="1"/>
      <c r="I427" s="1"/>
      <c r="J427" s="1"/>
      <c r="K427" s="1"/>
      <c r="L427" s="3"/>
      <c r="M427" s="3"/>
      <c r="N427" s="1"/>
    </row>
    <row r="428" spans="1:14" x14ac:dyDescent="0.2">
      <c r="A428" s="1"/>
      <c r="B428" s="1" t="s">
        <v>1</v>
      </c>
      <c r="C428" s="1"/>
      <c r="D428" s="61" t="s">
        <v>1680</v>
      </c>
      <c r="E428" s="1"/>
      <c r="F428" s="1"/>
      <c r="G428" s="1"/>
      <c r="H428" s="1"/>
      <c r="I428" s="1"/>
      <c r="J428" s="1"/>
      <c r="K428" s="1"/>
      <c r="L428" s="3"/>
      <c r="M428" s="3"/>
      <c r="N428" s="1"/>
    </row>
    <row r="429" spans="1:14" x14ac:dyDescent="0.2">
      <c r="A429" s="1"/>
      <c r="B429" s="1" t="s">
        <v>2</v>
      </c>
      <c r="C429" s="1"/>
      <c r="D429" s="1"/>
      <c r="E429" s="1"/>
      <c r="F429" s="1"/>
      <c r="G429" s="1"/>
      <c r="H429" s="1"/>
      <c r="I429" s="1"/>
      <c r="J429" s="1"/>
      <c r="K429" s="1"/>
      <c r="L429" s="3"/>
      <c r="M429" s="3"/>
      <c r="N429" s="1"/>
    </row>
    <row r="430" spans="1:14" x14ac:dyDescent="0.2">
      <c r="A430" s="1"/>
      <c r="B430" s="1"/>
      <c r="C430" s="1"/>
      <c r="D430" s="1"/>
      <c r="E430" s="1"/>
      <c r="F430" s="1"/>
      <c r="G430" s="1"/>
      <c r="H430" s="1"/>
      <c r="I430" s="1"/>
      <c r="J430" s="1"/>
      <c r="K430" s="1"/>
      <c r="L430" s="3"/>
      <c r="M430" s="3"/>
      <c r="N430" s="1"/>
    </row>
    <row r="431" spans="1:14" x14ac:dyDescent="0.2">
      <c r="A431" s="1"/>
      <c r="B431" s="82" t="s">
        <v>1033</v>
      </c>
      <c r="C431" s="318" t="s">
        <v>995</v>
      </c>
      <c r="D431" s="1"/>
      <c r="E431" s="1"/>
      <c r="F431" s="1"/>
      <c r="G431" s="1"/>
      <c r="H431" s="1"/>
      <c r="I431" s="1"/>
      <c r="J431" s="1"/>
      <c r="K431" s="1"/>
      <c r="L431" s="3"/>
      <c r="M431" s="3"/>
      <c r="N431" s="1"/>
    </row>
    <row r="432" spans="1:14" x14ac:dyDescent="0.2">
      <c r="A432" s="1"/>
      <c r="B432" s="52" t="str">
        <f>J432</f>
        <v/>
      </c>
      <c r="C432" s="198" t="s">
        <v>995</v>
      </c>
      <c r="D432" s="1"/>
      <c r="E432" s="1"/>
      <c r="F432" s="1"/>
      <c r="G432" s="1"/>
      <c r="H432" s="1"/>
      <c r="I432" s="1"/>
      <c r="J432" s="73" t="str">
        <f>IF(C431="x","Antwoord: (zeer) hoge kans met hoge impact (rechtsbovenin!)","")</f>
        <v/>
      </c>
      <c r="K432" s="1"/>
      <c r="L432" s="3"/>
      <c r="M432" s="3"/>
      <c r="N432" s="1"/>
    </row>
    <row r="433" spans="1:14" x14ac:dyDescent="0.2">
      <c r="A433" s="14"/>
      <c r="B433" s="14"/>
      <c r="C433" s="14"/>
      <c r="D433" s="180"/>
      <c r="E433" s="14"/>
      <c r="F433" s="14"/>
      <c r="G433" s="14"/>
      <c r="H433" s="14"/>
      <c r="I433" s="14"/>
      <c r="J433" s="120"/>
      <c r="K433" s="1"/>
      <c r="L433" s="3"/>
      <c r="M433" s="3"/>
      <c r="N433" s="1"/>
    </row>
    <row r="434" spans="1:14" x14ac:dyDescent="0.2">
      <c r="A434" s="1"/>
      <c r="B434" s="199"/>
      <c r="C434" s="198"/>
      <c r="D434" s="1"/>
      <c r="E434" s="1"/>
      <c r="F434" s="1"/>
      <c r="G434" s="1"/>
      <c r="H434" s="1"/>
      <c r="I434" s="1"/>
      <c r="J434" s="120"/>
      <c r="K434" s="1"/>
      <c r="L434" s="3"/>
      <c r="M434" s="3"/>
      <c r="N434" s="1"/>
    </row>
    <row r="435" spans="1:14" x14ac:dyDescent="0.2">
      <c r="A435" s="1" t="s">
        <v>340</v>
      </c>
      <c r="B435" s="199" t="s">
        <v>6</v>
      </c>
      <c r="C435" s="61" t="s">
        <v>9</v>
      </c>
      <c r="D435" s="1"/>
      <c r="E435" s="1"/>
      <c r="F435" s="1"/>
      <c r="G435" s="1"/>
      <c r="H435" s="1"/>
      <c r="I435" s="1"/>
      <c r="J435" s="1"/>
      <c r="K435" s="1"/>
      <c r="L435" s="3"/>
      <c r="M435" s="3"/>
      <c r="N435" s="1"/>
    </row>
    <row r="436" spans="1:14" x14ac:dyDescent="0.2">
      <c r="A436" s="1"/>
      <c r="B436" s="450" t="s">
        <v>2681</v>
      </c>
      <c r="C436" s="61" t="s">
        <v>10</v>
      </c>
      <c r="D436" s="1"/>
      <c r="E436" s="1"/>
      <c r="F436" s="1"/>
      <c r="G436" s="1"/>
      <c r="H436" s="1"/>
      <c r="I436" s="1"/>
      <c r="J436" s="1" t="s">
        <v>995</v>
      </c>
      <c r="K436" s="1"/>
      <c r="L436" s="3"/>
      <c r="M436" s="3"/>
      <c r="N436" s="1"/>
    </row>
    <row r="437" spans="1:14" ht="13.5" thickBot="1" x14ac:dyDescent="0.25">
      <c r="A437" s="1"/>
      <c r="B437" s="199" t="s">
        <v>5</v>
      </c>
      <c r="C437" s="1"/>
      <c r="D437" s="1"/>
      <c r="E437" s="1"/>
      <c r="F437" s="1"/>
      <c r="G437" s="1"/>
      <c r="H437" s="1"/>
      <c r="I437" s="1"/>
      <c r="J437" s="1"/>
      <c r="K437" s="1"/>
      <c r="L437" s="3"/>
      <c r="M437" s="3"/>
      <c r="N437" s="1"/>
    </row>
    <row r="438" spans="1:14" ht="27" customHeight="1" thickTop="1" x14ac:dyDescent="0.2">
      <c r="A438" s="1"/>
      <c r="B438" s="200" t="s">
        <v>7</v>
      </c>
      <c r="C438" s="189" t="s">
        <v>1676</v>
      </c>
      <c r="D438" s="201" t="s">
        <v>995</v>
      </c>
      <c r="E438" s="192" t="s">
        <v>995</v>
      </c>
      <c r="F438" s="192" t="s">
        <v>995</v>
      </c>
      <c r="G438" s="193" t="s">
        <v>995</v>
      </c>
      <c r="H438" s="1"/>
      <c r="I438" s="1"/>
      <c r="J438" s="5" t="str">
        <f>IF(D438="x","JUIST","")</f>
        <v/>
      </c>
      <c r="K438" s="5">
        <f>ABS(IF(J438="JUIST","1","0"))</f>
        <v>0</v>
      </c>
      <c r="L438" s="3">
        <v>1</v>
      </c>
      <c r="M438" s="3"/>
      <c r="N438" s="1"/>
    </row>
    <row r="439" spans="1:14" ht="27" customHeight="1" x14ac:dyDescent="0.2">
      <c r="A439" s="1"/>
      <c r="B439" s="200" t="s">
        <v>8</v>
      </c>
      <c r="C439" s="189" t="s">
        <v>1675</v>
      </c>
      <c r="D439" s="202" t="s">
        <v>995</v>
      </c>
      <c r="E439" s="24" t="s">
        <v>995</v>
      </c>
      <c r="F439" s="24" t="s">
        <v>995</v>
      </c>
      <c r="G439" s="35" t="s">
        <v>995</v>
      </c>
      <c r="H439" s="1"/>
      <c r="I439" s="1"/>
      <c r="J439" s="5" t="str">
        <f>IF(E438="x","deels ok","")</f>
        <v/>
      </c>
      <c r="K439" s="5">
        <f>ABS(IF(J439="deels ok","0,5","0"))</f>
        <v>0</v>
      </c>
      <c r="L439" s="3">
        <v>0.5</v>
      </c>
      <c r="M439" s="3"/>
      <c r="N439" s="1"/>
    </row>
    <row r="440" spans="1:14" ht="27" customHeight="1" x14ac:dyDescent="0.2">
      <c r="A440" s="1"/>
      <c r="B440" s="80" t="s">
        <v>13</v>
      </c>
      <c r="C440" s="189" t="s">
        <v>1677</v>
      </c>
      <c r="D440" s="194" t="s">
        <v>995</v>
      </c>
      <c r="E440" s="24" t="s">
        <v>995</v>
      </c>
      <c r="F440" s="24" t="s">
        <v>995</v>
      </c>
      <c r="G440" s="35" t="s">
        <v>995</v>
      </c>
      <c r="H440" s="1"/>
      <c r="I440" s="1"/>
      <c r="J440" s="1"/>
      <c r="K440" s="1"/>
      <c r="L440" s="3"/>
      <c r="M440" s="3"/>
      <c r="N440" s="1"/>
    </row>
    <row r="441" spans="1:14" ht="27" customHeight="1" thickBot="1" x14ac:dyDescent="0.25">
      <c r="A441" s="1"/>
      <c r="B441" s="199"/>
      <c r="C441" s="189" t="s">
        <v>1678</v>
      </c>
      <c r="D441" s="195" t="s">
        <v>995</v>
      </c>
      <c r="E441" s="196" t="s">
        <v>995</v>
      </c>
      <c r="F441" s="196" t="s">
        <v>995</v>
      </c>
      <c r="G441" s="197" t="s">
        <v>995</v>
      </c>
      <c r="H441" s="1"/>
      <c r="I441" s="1"/>
      <c r="J441" s="1"/>
      <c r="K441" s="1"/>
      <c r="L441" s="3"/>
      <c r="M441" s="3"/>
      <c r="N441" s="1"/>
    </row>
    <row r="442" spans="1:14" ht="13.5" thickTop="1" x14ac:dyDescent="0.2">
      <c r="A442" s="1"/>
      <c r="B442" s="1" t="s">
        <v>2205</v>
      </c>
      <c r="C442" s="1"/>
      <c r="D442" s="190"/>
      <c r="E442" s="190"/>
      <c r="F442" s="190"/>
      <c r="G442" s="190"/>
      <c r="H442" s="1"/>
      <c r="I442" s="1"/>
      <c r="J442" s="1"/>
      <c r="K442" s="1"/>
      <c r="L442" s="3"/>
      <c r="M442" s="3"/>
      <c r="N442" s="1"/>
    </row>
    <row r="443" spans="1:14" x14ac:dyDescent="0.2">
      <c r="A443" s="1"/>
      <c r="B443" s="1" t="s">
        <v>3</v>
      </c>
      <c r="C443" s="1"/>
      <c r="D443" s="187" t="s">
        <v>1678</v>
      </c>
      <c r="E443" s="187" t="s">
        <v>1677</v>
      </c>
      <c r="F443" s="187" t="s">
        <v>1675</v>
      </c>
      <c r="G443" s="187" t="s">
        <v>1676</v>
      </c>
      <c r="H443" s="1"/>
      <c r="I443" s="1"/>
      <c r="J443" s="1"/>
      <c r="K443" s="1"/>
      <c r="L443" s="3"/>
      <c r="M443" s="3"/>
      <c r="N443" s="1"/>
    </row>
    <row r="444" spans="1:14" x14ac:dyDescent="0.2">
      <c r="A444" s="1"/>
      <c r="B444" s="1" t="s">
        <v>2206</v>
      </c>
      <c r="C444" s="1"/>
      <c r="D444" s="61" t="s">
        <v>11</v>
      </c>
      <c r="E444" s="1"/>
      <c r="F444" s="1"/>
      <c r="G444" s="1"/>
      <c r="H444" s="1"/>
      <c r="I444" s="1"/>
      <c r="J444" s="1"/>
      <c r="K444" s="1"/>
      <c r="L444" s="3"/>
      <c r="M444" s="3"/>
      <c r="N444" s="1"/>
    </row>
    <row r="445" spans="1:14" x14ac:dyDescent="0.2">
      <c r="A445" s="1"/>
      <c r="B445" s="1" t="s">
        <v>1</v>
      </c>
      <c r="C445" s="198"/>
      <c r="D445" s="1"/>
      <c r="E445" s="1"/>
      <c r="F445" s="1"/>
      <c r="G445" s="1"/>
      <c r="H445" s="1"/>
      <c r="I445" s="1"/>
      <c r="J445" s="120"/>
      <c r="K445" s="1"/>
      <c r="L445" s="3"/>
      <c r="M445" s="3"/>
      <c r="N445" s="1"/>
    </row>
    <row r="446" spans="1:14" x14ac:dyDescent="0.2">
      <c r="A446" s="1"/>
      <c r="B446" s="1" t="s">
        <v>2</v>
      </c>
      <c r="C446" s="198"/>
      <c r="D446" s="1"/>
      <c r="E446" s="1"/>
      <c r="F446" s="1"/>
      <c r="G446" s="1"/>
      <c r="H446" s="1"/>
      <c r="I446" s="1"/>
      <c r="J446" s="120"/>
      <c r="K446" s="1"/>
      <c r="L446" s="3"/>
      <c r="M446" s="3"/>
      <c r="N446" s="1"/>
    </row>
    <row r="447" spans="1:14" x14ac:dyDescent="0.2">
      <c r="A447" s="1"/>
      <c r="B447" s="199"/>
      <c r="C447" s="198"/>
      <c r="D447" s="1"/>
      <c r="E447" s="1"/>
      <c r="F447" s="1"/>
      <c r="G447" s="1"/>
      <c r="H447" s="1"/>
      <c r="I447" s="1"/>
      <c r="J447" s="120"/>
      <c r="K447" s="1"/>
      <c r="L447" s="3"/>
      <c r="M447" s="3"/>
      <c r="N447" s="1"/>
    </row>
    <row r="448" spans="1:14" x14ac:dyDescent="0.2">
      <c r="A448" s="1"/>
      <c r="B448" s="82" t="s">
        <v>1033</v>
      </c>
      <c r="C448" s="318" t="s">
        <v>995</v>
      </c>
      <c r="D448" s="1"/>
      <c r="E448" s="1"/>
      <c r="F448" s="1"/>
      <c r="G448" s="1"/>
      <c r="H448" s="1"/>
      <c r="I448" s="1"/>
      <c r="J448" s="1"/>
      <c r="K448" s="1"/>
      <c r="L448" s="3"/>
      <c r="M448" s="3"/>
      <c r="N448" s="1"/>
    </row>
    <row r="449" spans="1:14" x14ac:dyDescent="0.2">
      <c r="A449" s="1"/>
      <c r="B449" s="52" t="str">
        <f>J449</f>
        <v/>
      </c>
      <c r="C449" s="198"/>
      <c r="D449" s="1"/>
      <c r="E449" s="1"/>
      <c r="F449" s="1"/>
      <c r="G449" s="1"/>
      <c r="H449" s="1"/>
      <c r="I449" s="1"/>
      <c r="J449" s="73" t="str">
        <f>IF(C448="x","Antwoord: (zeer) hoog risico en lage effectiviteit (linksbovenin!)","")</f>
        <v/>
      </c>
      <c r="K449" s="1"/>
      <c r="L449" s="3"/>
      <c r="M449" s="3"/>
      <c r="N449" s="1"/>
    </row>
    <row r="450" spans="1:14" x14ac:dyDescent="0.2">
      <c r="A450" s="1"/>
      <c r="B450" s="119" t="str">
        <f>J450</f>
        <v/>
      </c>
      <c r="C450" s="198"/>
      <c r="D450" s="1"/>
      <c r="E450" s="1"/>
      <c r="F450" s="1"/>
      <c r="G450" s="1"/>
      <c r="H450" s="1"/>
      <c r="I450" s="1"/>
      <c r="J450" s="73" t="str">
        <f>IF(C448="x","De beheersmaatregelen leiden mogelijk tot meer uitstroom,","")</f>
        <v/>
      </c>
      <c r="K450" s="1"/>
      <c r="L450" s="3"/>
      <c r="M450" s="3"/>
      <c r="N450" s="1"/>
    </row>
    <row r="451" spans="1:14" x14ac:dyDescent="0.2">
      <c r="A451" s="1"/>
      <c r="B451" s="119" t="str">
        <f>J451</f>
        <v/>
      </c>
      <c r="C451" s="198"/>
      <c r="D451" s="1"/>
      <c r="E451" s="1"/>
      <c r="F451" s="1"/>
      <c r="G451" s="1"/>
      <c r="H451" s="1"/>
      <c r="I451" s="1"/>
      <c r="J451" s="73" t="str">
        <f>IF(C448="x","maar ook tot 'braindrain': verlies van kennis!,","")</f>
        <v/>
      </c>
      <c r="K451" s="1"/>
      <c r="L451" s="3"/>
      <c r="M451" s="3"/>
      <c r="N451" s="1"/>
    </row>
    <row r="452" spans="1:14" x14ac:dyDescent="0.2">
      <c r="A452" s="1"/>
      <c r="B452" s="119" t="str">
        <f>J452</f>
        <v/>
      </c>
      <c r="C452" s="198"/>
      <c r="D452" s="1"/>
      <c r="E452" s="1"/>
      <c r="F452" s="1"/>
      <c r="G452" s="1"/>
      <c r="H452" s="1"/>
      <c r="I452" s="1"/>
      <c r="J452" s="73" t="str">
        <f>IF(C448="x","de effectiviteit m.b.t. het risico is dus tamelijk laag!,","")</f>
        <v/>
      </c>
      <c r="K452" s="1"/>
      <c r="L452" s="3"/>
      <c r="M452" s="3"/>
      <c r="N452" s="1"/>
    </row>
    <row r="453" spans="1:14" x14ac:dyDescent="0.2">
      <c r="A453" s="1"/>
      <c r="B453" s="199"/>
      <c r="C453" s="198"/>
      <c r="D453" s="1"/>
      <c r="E453" s="1"/>
      <c r="F453" s="1"/>
      <c r="G453" s="1"/>
      <c r="H453" s="1"/>
      <c r="I453" s="1"/>
      <c r="J453" s="120"/>
      <c r="K453" s="1"/>
      <c r="L453" s="3"/>
      <c r="M453" s="3"/>
      <c r="N453" s="1"/>
    </row>
    <row r="454" spans="1:14" x14ac:dyDescent="0.2">
      <c r="A454" s="14"/>
      <c r="B454" s="14"/>
      <c r="C454" s="14"/>
      <c r="D454" s="180"/>
      <c r="E454" s="14"/>
      <c r="F454" s="14"/>
      <c r="G454" s="14"/>
      <c r="H454" s="14"/>
      <c r="I454" s="14"/>
      <c r="J454" s="120"/>
      <c r="K454" s="1"/>
      <c r="L454" s="3"/>
      <c r="M454" s="3"/>
      <c r="N454" s="1"/>
    </row>
    <row r="455" spans="1:14" x14ac:dyDescent="0.2">
      <c r="A455" s="1"/>
      <c r="B455" s="199"/>
      <c r="C455" s="198"/>
      <c r="D455" s="1"/>
      <c r="E455" s="1"/>
      <c r="F455" s="1"/>
      <c r="G455" s="1"/>
      <c r="H455" s="1"/>
      <c r="I455" s="1"/>
      <c r="J455" s="120"/>
      <c r="K455" s="1"/>
      <c r="L455" s="3"/>
      <c r="M455" s="3"/>
      <c r="N455" s="1"/>
    </row>
    <row r="456" spans="1:14" x14ac:dyDescent="0.2">
      <c r="A456" s="1" t="s">
        <v>4</v>
      </c>
      <c r="B456" s="199" t="s">
        <v>914</v>
      </c>
      <c r="C456" s="198"/>
      <c r="D456" s="1"/>
      <c r="E456" s="1"/>
      <c r="F456" s="1"/>
      <c r="G456" s="1"/>
      <c r="H456" s="1"/>
      <c r="I456" s="1"/>
      <c r="J456" s="120"/>
      <c r="K456" s="1"/>
      <c r="L456" s="3"/>
      <c r="M456" s="3"/>
      <c r="N456" s="1"/>
    </row>
    <row r="457" spans="1:14" x14ac:dyDescent="0.2">
      <c r="A457" s="1"/>
      <c r="B457" s="450" t="s">
        <v>2682</v>
      </c>
      <c r="C457" s="204" t="s">
        <v>999</v>
      </c>
      <c r="D457" s="6" t="s">
        <v>347</v>
      </c>
      <c r="E457" s="318" t="s">
        <v>995</v>
      </c>
      <c r="F457" s="1"/>
      <c r="G457" s="1"/>
      <c r="H457" s="1"/>
      <c r="I457" s="1"/>
      <c r="J457" s="5" t="str">
        <f>IF(E457="x","FOUT","")</f>
        <v/>
      </c>
      <c r="K457" s="5">
        <f>ABS(IF(J457="JUIST","1","0"))</f>
        <v>0</v>
      </c>
      <c r="L457" s="3" t="s">
        <v>995</v>
      </c>
      <c r="M457" s="3"/>
      <c r="N457" s="1"/>
    </row>
    <row r="458" spans="1:14" x14ac:dyDescent="0.2">
      <c r="A458" s="1"/>
      <c r="B458" s="450" t="s">
        <v>2683</v>
      </c>
      <c r="C458" s="204" t="s">
        <v>1000</v>
      </c>
      <c r="D458" s="6" t="s">
        <v>348</v>
      </c>
      <c r="E458" s="10" t="s">
        <v>995</v>
      </c>
      <c r="F458" s="1"/>
      <c r="G458" s="1"/>
      <c r="H458" s="1"/>
      <c r="I458" s="1"/>
      <c r="J458" s="5" t="str">
        <f>IF(E458="x","JUIST","")</f>
        <v/>
      </c>
      <c r="K458" s="5">
        <f>ABS(IF(J458="JUIST","1","0"))</f>
        <v>0</v>
      </c>
      <c r="L458" s="3">
        <v>1</v>
      </c>
      <c r="M458" s="3"/>
      <c r="N458" s="1"/>
    </row>
    <row r="459" spans="1:14" x14ac:dyDescent="0.2">
      <c r="A459" s="1"/>
      <c r="B459" s="203" t="s">
        <v>350</v>
      </c>
      <c r="C459" s="204" t="s">
        <v>1001</v>
      </c>
      <c r="D459" s="6" t="s">
        <v>349</v>
      </c>
      <c r="E459" s="10" t="s">
        <v>995</v>
      </c>
      <c r="F459" s="1"/>
      <c r="G459" s="1"/>
      <c r="H459" s="1"/>
      <c r="I459" s="1"/>
      <c r="J459" s="5" t="str">
        <f>IF(E459="x","FOUT","")</f>
        <v/>
      </c>
      <c r="K459" s="5">
        <f>ABS(IF(J459="JUIST","1","0"))</f>
        <v>0</v>
      </c>
      <c r="L459" s="3" t="s">
        <v>995</v>
      </c>
      <c r="M459" s="3"/>
      <c r="N459" s="1"/>
    </row>
    <row r="460" spans="1:14" x14ac:dyDescent="0.2">
      <c r="A460" s="1"/>
      <c r="B460" s="199"/>
      <c r="C460" s="198"/>
      <c r="D460" s="1"/>
      <c r="E460" s="1"/>
      <c r="F460" s="1"/>
      <c r="G460" s="1"/>
      <c r="H460" s="1"/>
      <c r="I460" s="1"/>
      <c r="J460" s="120"/>
      <c r="K460" s="1"/>
      <c r="L460" s="3"/>
      <c r="M460" s="3"/>
      <c r="N460" s="1"/>
    </row>
    <row r="461" spans="1:14" x14ac:dyDescent="0.2">
      <c r="A461" s="1"/>
      <c r="B461" s="82" t="s">
        <v>1033</v>
      </c>
      <c r="C461" s="10"/>
      <c r="D461" s="1"/>
      <c r="E461" s="1"/>
      <c r="F461" s="1"/>
      <c r="G461" s="1"/>
      <c r="H461" s="1"/>
      <c r="I461" s="1"/>
      <c r="J461" s="1"/>
      <c r="K461" s="1"/>
      <c r="L461" s="3"/>
      <c r="M461" s="3"/>
      <c r="N461" s="1"/>
    </row>
    <row r="462" spans="1:14" x14ac:dyDescent="0.2">
      <c r="A462" s="1"/>
      <c r="B462" s="52" t="str">
        <f>J462</f>
        <v/>
      </c>
      <c r="C462" s="198"/>
      <c r="D462" s="1"/>
      <c r="E462" s="1"/>
      <c r="F462" s="1"/>
      <c r="G462" s="1"/>
      <c r="H462" s="1"/>
      <c r="I462" s="1"/>
      <c r="J462" s="73" t="str">
        <f>IF(C461="x","Het juiste antwoord is: B","")</f>
        <v/>
      </c>
      <c r="K462" s="1"/>
      <c r="L462" s="3"/>
      <c r="M462" s="3"/>
      <c r="N462" s="1"/>
    </row>
    <row r="463" spans="1:14" x14ac:dyDescent="0.2">
      <c r="A463" s="14"/>
      <c r="B463" s="14"/>
      <c r="C463" s="14"/>
      <c r="D463" s="180"/>
      <c r="E463" s="14"/>
      <c r="F463" s="14"/>
      <c r="G463" s="14"/>
      <c r="H463" s="14"/>
      <c r="I463" s="14"/>
      <c r="J463" s="1"/>
      <c r="K463" s="1"/>
      <c r="L463" s="3"/>
      <c r="M463" s="3"/>
      <c r="N463" s="1"/>
    </row>
    <row r="464" spans="1:14" ht="13.5" thickBot="1" x14ac:dyDescent="0.25">
      <c r="A464" s="1"/>
      <c r="B464" s="1"/>
      <c r="C464" s="1"/>
      <c r="D464" s="1"/>
      <c r="E464" s="1"/>
      <c r="F464" s="1"/>
      <c r="G464" s="1"/>
      <c r="H464" s="1"/>
      <c r="I464" s="1"/>
      <c r="J464" s="1"/>
      <c r="K464" s="1"/>
      <c r="L464" s="3"/>
      <c r="M464" s="3"/>
      <c r="N464" s="1"/>
    </row>
    <row r="465" spans="1:14" ht="14.25" thickTop="1" thickBot="1" x14ac:dyDescent="0.25">
      <c r="A465" s="1" t="s">
        <v>351</v>
      </c>
      <c r="B465" s="67" t="s">
        <v>2744</v>
      </c>
      <c r="C465" s="233" t="s">
        <v>1663</v>
      </c>
      <c r="D465" s="1"/>
      <c r="E465" s="234" t="s">
        <v>1665</v>
      </c>
      <c r="F465" s="232"/>
      <c r="G465" s="1"/>
      <c r="H465" s="1"/>
      <c r="I465" s="1"/>
      <c r="J465" s="1" t="s">
        <v>1671</v>
      </c>
      <c r="K465" s="1"/>
      <c r="L465" s="3"/>
      <c r="M465" s="3"/>
      <c r="N465" s="1"/>
    </row>
    <row r="466" spans="1:14" ht="13.5" thickTop="1" x14ac:dyDescent="0.2">
      <c r="A466" s="1"/>
      <c r="B466" s="67" t="s">
        <v>2745</v>
      </c>
      <c r="C466" s="54" t="s">
        <v>1673</v>
      </c>
      <c r="D466" s="1"/>
      <c r="E466" s="108" t="s">
        <v>1666</v>
      </c>
      <c r="F466" s="157"/>
      <c r="G466" s="1"/>
      <c r="H466" s="1"/>
      <c r="I466" s="1"/>
      <c r="J466" s="5" t="e">
        <f>SEARCH("verzuimprev",C469)</f>
        <v>#VALUE!</v>
      </c>
      <c r="K466" s="1"/>
      <c r="L466" s="3"/>
      <c r="M466" s="3"/>
      <c r="N466" s="1"/>
    </row>
    <row r="467" spans="1:14" x14ac:dyDescent="0.2">
      <c r="A467" s="1"/>
      <c r="B467" s="81" t="s">
        <v>2207</v>
      </c>
      <c r="C467" s="28" t="s">
        <v>1222</v>
      </c>
      <c r="D467" s="1"/>
      <c r="E467" s="108" t="s">
        <v>1667</v>
      </c>
      <c r="F467" s="110"/>
      <c r="G467" s="1"/>
      <c r="H467" s="1"/>
      <c r="I467" s="1"/>
      <c r="J467" s="5">
        <f>ABS(ISERR(J466))</f>
        <v>1</v>
      </c>
      <c r="K467" s="5">
        <f>ABS(IF(J467=0,"1","0"))</f>
        <v>0</v>
      </c>
      <c r="L467" s="3">
        <v>1</v>
      </c>
      <c r="M467" s="3"/>
      <c r="N467" s="1"/>
    </row>
    <row r="468" spans="1:14" x14ac:dyDescent="0.2">
      <c r="A468" s="1"/>
      <c r="B468" s="81" t="s">
        <v>2208</v>
      </c>
      <c r="C468" s="6" t="s">
        <v>1664</v>
      </c>
      <c r="D468" s="1"/>
      <c r="E468" s="108" t="s">
        <v>1668</v>
      </c>
      <c r="F468" s="110"/>
      <c r="G468" s="1"/>
      <c r="H468" s="1"/>
      <c r="I468" s="1"/>
      <c r="J468" s="1"/>
      <c r="K468" s="1"/>
      <c r="L468" s="3"/>
      <c r="M468" s="3"/>
      <c r="N468" s="1"/>
    </row>
    <row r="469" spans="1:14" x14ac:dyDescent="0.2">
      <c r="A469" s="1"/>
      <c r="B469" s="185"/>
      <c r="C469" s="7" t="s">
        <v>995</v>
      </c>
      <c r="D469" s="1"/>
      <c r="E469" s="108" t="s">
        <v>1674</v>
      </c>
      <c r="F469" s="110"/>
      <c r="G469" s="1"/>
      <c r="H469" s="1"/>
      <c r="I469" s="1"/>
      <c r="J469" s="1"/>
      <c r="K469" s="1"/>
      <c r="L469" s="3"/>
      <c r="M469" s="3"/>
      <c r="N469" s="1"/>
    </row>
    <row r="470" spans="1:14" x14ac:dyDescent="0.2">
      <c r="A470" s="1"/>
      <c r="B470" s="18"/>
      <c r="C470" s="1">
        <f>IF(C474="x",J465,)</f>
        <v>0</v>
      </c>
      <c r="D470" s="1"/>
      <c r="E470" s="108" t="s">
        <v>1669</v>
      </c>
      <c r="F470" s="110"/>
      <c r="G470" s="1"/>
      <c r="H470" s="1"/>
      <c r="I470" s="1"/>
      <c r="J470" s="1" t="s">
        <v>1672</v>
      </c>
      <c r="K470" s="1"/>
      <c r="L470" s="3"/>
      <c r="M470" s="3"/>
      <c r="N470" s="1"/>
    </row>
    <row r="471" spans="1:14" x14ac:dyDescent="0.2">
      <c r="A471" s="1"/>
      <c r="B471" s="18"/>
      <c r="C471" s="1"/>
      <c r="D471" s="1"/>
      <c r="E471" s="108" t="s">
        <v>1670</v>
      </c>
      <c r="F471" s="110"/>
      <c r="G471" s="1"/>
      <c r="H471" s="1"/>
      <c r="I471" s="1"/>
      <c r="J471" s="5" t="e">
        <f>SEARCH("vervanging",E472)</f>
        <v>#VALUE!</v>
      </c>
      <c r="K471" s="1"/>
      <c r="L471" s="3"/>
      <c r="M471" s="3"/>
      <c r="N471" s="1"/>
    </row>
    <row r="472" spans="1:14" x14ac:dyDescent="0.2">
      <c r="A472" s="1"/>
      <c r="B472" s="179"/>
      <c r="C472" s="1"/>
      <c r="D472" s="1"/>
      <c r="E472" s="186" t="s">
        <v>995</v>
      </c>
      <c r="F472" s="62"/>
      <c r="G472" s="1"/>
      <c r="H472" s="1"/>
      <c r="I472" s="1"/>
      <c r="J472" s="5">
        <f>ABS(ISERR(J471))</f>
        <v>1</v>
      </c>
      <c r="K472" s="5">
        <f>ABS(IF(J472=0,"1","0"))</f>
        <v>0</v>
      </c>
      <c r="L472" s="3">
        <v>1</v>
      </c>
      <c r="M472" s="3"/>
      <c r="N472" s="1"/>
    </row>
    <row r="473" spans="1:14" x14ac:dyDescent="0.2">
      <c r="A473" s="1"/>
      <c r="B473" s="18"/>
      <c r="C473" s="1"/>
      <c r="D473" s="1"/>
      <c r="E473" s="1">
        <f>IF(C474="x",J470,)</f>
        <v>0</v>
      </c>
      <c r="F473" s="1"/>
      <c r="G473" s="1"/>
      <c r="H473" s="1"/>
      <c r="I473" s="1"/>
      <c r="J473" s="1"/>
      <c r="K473" s="1"/>
      <c r="L473" s="3"/>
      <c r="M473" s="3"/>
      <c r="N473" s="1"/>
    </row>
    <row r="474" spans="1:14" x14ac:dyDescent="0.2">
      <c r="A474" s="1"/>
      <c r="B474" s="82" t="s">
        <v>627</v>
      </c>
      <c r="C474" s="318" t="s">
        <v>995</v>
      </c>
      <c r="D474" s="1"/>
      <c r="E474" s="1"/>
      <c r="F474" s="1"/>
      <c r="G474" s="1"/>
      <c r="H474" s="1"/>
      <c r="I474" s="1"/>
      <c r="J474" s="1"/>
      <c r="K474" s="1"/>
      <c r="L474" s="3"/>
      <c r="M474" s="3"/>
      <c r="N474" s="1"/>
    </row>
    <row r="475" spans="1:14" x14ac:dyDescent="0.2">
      <c r="A475" s="14"/>
      <c r="B475" s="14"/>
      <c r="C475" s="14"/>
      <c r="D475" s="180"/>
      <c r="E475" s="14"/>
      <c r="F475" s="14"/>
      <c r="G475" s="14"/>
      <c r="H475" s="14"/>
      <c r="I475" s="14"/>
      <c r="J475" s="1"/>
      <c r="K475" s="1"/>
      <c r="L475" s="3"/>
      <c r="M475" s="3"/>
      <c r="N475" s="1"/>
    </row>
    <row r="476" spans="1:14" ht="13.5" thickBot="1" x14ac:dyDescent="0.25">
      <c r="A476" s="1"/>
      <c r="B476" s="1"/>
      <c r="C476" s="1"/>
      <c r="D476" s="1"/>
      <c r="E476" s="1"/>
      <c r="F476" s="1"/>
      <c r="G476" s="1"/>
      <c r="H476" s="1"/>
      <c r="I476" s="1"/>
      <c r="J476" s="1"/>
      <c r="K476" s="1"/>
      <c r="L476" s="3"/>
      <c r="M476" s="3"/>
      <c r="N476" s="1"/>
    </row>
    <row r="477" spans="1:14" ht="14.25" thickTop="1" thickBot="1" x14ac:dyDescent="0.25">
      <c r="A477" s="1" t="s">
        <v>352</v>
      </c>
      <c r="B477" s="1" t="s">
        <v>386</v>
      </c>
      <c r="C477" s="3"/>
      <c r="D477" s="3"/>
      <c r="E477" s="212" t="s">
        <v>995</v>
      </c>
      <c r="F477" s="45" t="str">
        <f>IF(C507="x",M478,"")</f>
        <v/>
      </c>
      <c r="G477" s="3"/>
      <c r="H477" s="1"/>
      <c r="I477" s="1"/>
      <c r="J477" s="5" t="e">
        <f>SEARCH("Werving",E477)</f>
        <v>#VALUE!</v>
      </c>
      <c r="K477" s="1"/>
      <c r="L477" s="3"/>
      <c r="M477" s="3"/>
      <c r="N477" s="1"/>
    </row>
    <row r="478" spans="1:14" ht="13.5" thickTop="1" x14ac:dyDescent="0.2">
      <c r="A478" s="1"/>
      <c r="B478" s="1" t="s">
        <v>387</v>
      </c>
      <c r="C478" s="3"/>
      <c r="D478" s="3"/>
      <c r="E478" s="207" t="s">
        <v>379</v>
      </c>
      <c r="F478" s="3"/>
      <c r="G478" s="3"/>
      <c r="H478" s="1"/>
      <c r="I478" s="1"/>
      <c r="J478" s="5">
        <f>ABS(ISERR(J477))</f>
        <v>1</v>
      </c>
      <c r="K478" s="5">
        <f>ABS(IF(J478=0,"1","0"))</f>
        <v>0</v>
      </c>
      <c r="L478" s="3">
        <v>1</v>
      </c>
      <c r="M478" s="3" t="s">
        <v>1789</v>
      </c>
      <c r="N478" s="1"/>
    </row>
    <row r="479" spans="1:14" x14ac:dyDescent="0.2">
      <c r="A479" s="1"/>
      <c r="B479" s="1" t="s">
        <v>388</v>
      </c>
      <c r="C479" s="3"/>
      <c r="D479" s="3"/>
      <c r="E479" s="208" t="s">
        <v>380</v>
      </c>
      <c r="F479" s="3"/>
      <c r="G479" s="3"/>
      <c r="H479" s="1"/>
      <c r="I479" s="1"/>
      <c r="J479" s="1"/>
      <c r="K479" s="1"/>
      <c r="L479" s="3"/>
      <c r="M479" s="3"/>
      <c r="N479" s="1"/>
    </row>
    <row r="480" spans="1:14" x14ac:dyDescent="0.2">
      <c r="A480" s="1"/>
      <c r="B480" s="1" t="s">
        <v>2209</v>
      </c>
      <c r="C480" s="3"/>
      <c r="D480" s="3"/>
      <c r="E480" s="208" t="s">
        <v>381</v>
      </c>
      <c r="F480" s="3"/>
      <c r="G480" s="3"/>
      <c r="H480" s="1"/>
      <c r="I480" s="1"/>
      <c r="J480" s="5" t="e">
        <f>SEARCH("Train",F490)</f>
        <v>#VALUE!</v>
      </c>
      <c r="K480" s="1"/>
      <c r="L480" s="3"/>
      <c r="M480" s="3"/>
      <c r="N480" s="1"/>
    </row>
    <row r="481" spans="1:14" x14ac:dyDescent="0.2">
      <c r="A481" s="1"/>
      <c r="C481" s="3"/>
      <c r="D481" s="3"/>
      <c r="E481" s="237" t="s">
        <v>382</v>
      </c>
      <c r="F481" s="3"/>
      <c r="G481" s="3"/>
      <c r="H481" s="1"/>
      <c r="I481" s="1"/>
      <c r="J481" s="5">
        <f>ABS(ISERR(J480))</f>
        <v>1</v>
      </c>
      <c r="K481" s="5">
        <f>ABS(IF(J481=0,"1","0"))</f>
        <v>0</v>
      </c>
      <c r="L481" s="3">
        <v>1</v>
      </c>
      <c r="M481" s="3" t="s">
        <v>1782</v>
      </c>
      <c r="N481" s="1"/>
    </row>
    <row r="482" spans="1:14" x14ac:dyDescent="0.2">
      <c r="A482" s="1"/>
      <c r="B482" s="81" t="s">
        <v>390</v>
      </c>
      <c r="C482" s="3"/>
      <c r="D482" s="3"/>
      <c r="E482" s="237" t="s">
        <v>383</v>
      </c>
      <c r="F482" s="3"/>
      <c r="G482" s="3"/>
      <c r="H482" s="1"/>
      <c r="I482" s="1"/>
      <c r="J482" s="1"/>
      <c r="K482" s="1"/>
      <c r="L482" s="3"/>
      <c r="M482" s="3"/>
      <c r="N482" s="1"/>
    </row>
    <row r="483" spans="1:14" x14ac:dyDescent="0.2">
      <c r="A483" s="1"/>
      <c r="B483" s="81" t="s">
        <v>391</v>
      </c>
      <c r="C483" s="3"/>
      <c r="D483" s="3"/>
      <c r="E483" s="208" t="s">
        <v>384</v>
      </c>
      <c r="F483" s="3"/>
      <c r="G483" s="3"/>
      <c r="H483" s="1"/>
      <c r="I483" s="1"/>
      <c r="J483" s="5" t="e">
        <f>SEARCH("Opleid",F490)</f>
        <v>#VALUE!</v>
      </c>
      <c r="K483" s="1"/>
      <c r="L483" s="3"/>
      <c r="M483" s="3"/>
      <c r="N483" s="1"/>
    </row>
    <row r="484" spans="1:14" x14ac:dyDescent="0.2">
      <c r="A484" s="1"/>
      <c r="C484" s="3"/>
      <c r="D484" s="3"/>
      <c r="E484" s="209" t="s">
        <v>385</v>
      </c>
      <c r="F484" s="3"/>
      <c r="G484" s="3"/>
      <c r="H484" s="1"/>
      <c r="I484" s="1"/>
      <c r="J484" s="5">
        <f>ABS(ISERR(J483))</f>
        <v>1</v>
      </c>
      <c r="K484" s="5">
        <f>ABS(IF(J484=0,"1","0"))</f>
        <v>0</v>
      </c>
      <c r="L484" s="3" t="s">
        <v>995</v>
      </c>
      <c r="M484" s="3" t="s">
        <v>1783</v>
      </c>
      <c r="N484" s="1"/>
    </row>
    <row r="485" spans="1:14" ht="13.5" thickBot="1" x14ac:dyDescent="0.25">
      <c r="A485" s="1"/>
      <c r="B485" s="81" t="s">
        <v>2210</v>
      </c>
      <c r="C485" s="3"/>
      <c r="D485" s="3"/>
      <c r="E485" s="3"/>
      <c r="F485" s="3" t="s">
        <v>995</v>
      </c>
      <c r="G485" s="3"/>
      <c r="H485" s="1"/>
      <c r="I485" s="1"/>
      <c r="J485" s="1"/>
      <c r="K485" s="1"/>
      <c r="L485" s="3"/>
      <c r="M485" s="3"/>
      <c r="N485" s="1"/>
    </row>
    <row r="486" spans="1:14" ht="14.25" thickTop="1" thickBot="1" x14ac:dyDescent="0.25">
      <c r="A486" s="1"/>
      <c r="B486" s="81" t="s">
        <v>389</v>
      </c>
      <c r="C486" s="3"/>
      <c r="D486" s="69" t="s">
        <v>358</v>
      </c>
      <c r="E486" s="3"/>
      <c r="F486" s="69" t="s">
        <v>353</v>
      </c>
      <c r="G486" s="3"/>
      <c r="H486" s="1"/>
      <c r="I486" s="1"/>
      <c r="J486" s="5" t="e">
        <f>SEARCH("Medezeggen",G499)</f>
        <v>#VALUE!</v>
      </c>
      <c r="K486" s="1"/>
      <c r="L486" s="3"/>
      <c r="M486" s="3"/>
      <c r="N486" s="1"/>
    </row>
    <row r="487" spans="1:14" ht="13.5" thickTop="1" x14ac:dyDescent="0.2">
      <c r="A487" s="1"/>
      <c r="B487" s="81" t="s">
        <v>392</v>
      </c>
      <c r="C487" s="3"/>
      <c r="D487" s="207" t="s">
        <v>371</v>
      </c>
      <c r="E487" s="3"/>
      <c r="F487" s="207" t="s">
        <v>2212</v>
      </c>
      <c r="G487" s="3"/>
      <c r="H487" s="1"/>
      <c r="I487" s="1"/>
      <c r="J487" s="5">
        <f>ABS(ISERR(J486))</f>
        <v>1</v>
      </c>
      <c r="K487" s="5">
        <f>ABS(IF(J487=0,"1","0"))</f>
        <v>0</v>
      </c>
      <c r="L487" s="3">
        <v>1</v>
      </c>
      <c r="M487" s="17" t="s">
        <v>1784</v>
      </c>
      <c r="N487" s="1"/>
    </row>
    <row r="488" spans="1:14" x14ac:dyDescent="0.2">
      <c r="A488" s="1"/>
      <c r="B488" s="1"/>
      <c r="C488" s="3"/>
      <c r="D488" s="208" t="s">
        <v>2211</v>
      </c>
      <c r="E488" s="3"/>
      <c r="F488" s="506" t="s">
        <v>374</v>
      </c>
      <c r="G488" s="3"/>
      <c r="H488" s="1"/>
      <c r="I488" s="1"/>
      <c r="J488" s="1"/>
      <c r="K488" s="1"/>
      <c r="L488" s="3"/>
      <c r="M488" s="3"/>
      <c r="N488" s="1"/>
    </row>
    <row r="489" spans="1:14" x14ac:dyDescent="0.2">
      <c r="A489" s="1"/>
      <c r="B489" s="1"/>
      <c r="C489" s="3"/>
      <c r="D489" s="208" t="s">
        <v>372</v>
      </c>
      <c r="E489" s="3"/>
      <c r="F489" s="208" t="s">
        <v>375</v>
      </c>
      <c r="G489" s="3"/>
      <c r="H489" s="1"/>
      <c r="I489" s="1"/>
      <c r="J489" s="5" t="e">
        <f>SEARCH("Inspraak",G499)</f>
        <v>#VALUE!</v>
      </c>
      <c r="K489" s="1"/>
      <c r="L489" s="3"/>
      <c r="M489" s="3"/>
      <c r="N489" s="1"/>
    </row>
    <row r="490" spans="1:14" x14ac:dyDescent="0.2">
      <c r="A490" s="1"/>
      <c r="C490" s="45" t="str">
        <f>IF(C507="x",M499,"")</f>
        <v/>
      </c>
      <c r="D490" s="211" t="s">
        <v>995</v>
      </c>
      <c r="E490" s="3"/>
      <c r="F490" s="211" t="s">
        <v>995</v>
      </c>
      <c r="G490" s="45" t="str">
        <f>IF(C507="x",M484,"")</f>
        <v/>
      </c>
      <c r="H490" s="1"/>
      <c r="I490" s="1"/>
      <c r="J490" s="5">
        <f>ABS(ISERR(J489))</f>
        <v>1</v>
      </c>
      <c r="K490" s="5">
        <f>ABS(IF(J490=0,"1","0"))</f>
        <v>0</v>
      </c>
      <c r="L490" s="3"/>
      <c r="M490" s="3" t="s">
        <v>1785</v>
      </c>
      <c r="N490" s="1"/>
    </row>
    <row r="491" spans="1:14" x14ac:dyDescent="0.2">
      <c r="A491" s="1"/>
      <c r="B491" s="1"/>
      <c r="C491" s="3"/>
      <c r="D491" s="209" t="s">
        <v>373</v>
      </c>
      <c r="E491" s="3"/>
      <c r="F491" s="237" t="s">
        <v>376</v>
      </c>
      <c r="G491" s="3"/>
      <c r="H491" s="1"/>
      <c r="I491" s="1"/>
      <c r="J491" s="1"/>
      <c r="K491" s="1"/>
      <c r="L491" s="3"/>
      <c r="M491" s="3"/>
      <c r="N491" s="1"/>
    </row>
    <row r="492" spans="1:14" x14ac:dyDescent="0.2">
      <c r="A492" s="1"/>
      <c r="B492" s="1"/>
      <c r="C492" s="3"/>
      <c r="E492" s="3"/>
      <c r="F492" s="208" t="s">
        <v>377</v>
      </c>
      <c r="G492" s="3"/>
      <c r="H492" s="1"/>
      <c r="I492" s="1"/>
      <c r="J492" s="5" t="e">
        <f>SEARCH("WI",F505)</f>
        <v>#VALUE!</v>
      </c>
      <c r="K492" s="1"/>
      <c r="L492" s="3"/>
      <c r="M492" s="3"/>
      <c r="N492" s="1"/>
    </row>
    <row r="493" spans="1:14" x14ac:dyDescent="0.2">
      <c r="A493" s="1"/>
      <c r="B493" s="1"/>
      <c r="C493" s="3"/>
      <c r="D493" s="45"/>
      <c r="E493" s="3"/>
      <c r="F493" s="236" t="s">
        <v>378</v>
      </c>
      <c r="G493" s="3"/>
      <c r="H493" s="1"/>
      <c r="I493" s="1"/>
      <c r="J493" s="5">
        <f>ABS(ISERR(J492))</f>
        <v>1</v>
      </c>
      <c r="K493" s="5">
        <f>ABS(IF(J493=0,"1","0"))</f>
        <v>0</v>
      </c>
      <c r="L493" s="3">
        <v>1</v>
      </c>
      <c r="M493" s="3" t="s">
        <v>1787</v>
      </c>
      <c r="N493" s="1"/>
    </row>
    <row r="494" spans="1:14" ht="13.5" thickBot="1" x14ac:dyDescent="0.25">
      <c r="A494" s="1"/>
      <c r="B494" s="1"/>
      <c r="C494" s="206"/>
      <c r="D494" s="91"/>
      <c r="E494" s="3"/>
      <c r="F494" s="3"/>
      <c r="G494" s="3"/>
      <c r="H494" s="1"/>
      <c r="I494" s="1"/>
      <c r="J494" s="1"/>
      <c r="K494" s="1"/>
      <c r="L494" s="3"/>
      <c r="M494" s="3"/>
      <c r="N494" s="1"/>
    </row>
    <row r="495" spans="1:14" ht="14.25" thickTop="1" thickBot="1" x14ac:dyDescent="0.25">
      <c r="A495" s="1"/>
      <c r="B495" s="1"/>
      <c r="C495" s="69" t="s">
        <v>357</v>
      </c>
      <c r="D495" s="3"/>
      <c r="E495" s="3"/>
      <c r="F495" s="3"/>
      <c r="G495" s="69" t="s">
        <v>354</v>
      </c>
      <c r="H495" s="1"/>
      <c r="I495" s="1"/>
      <c r="J495" s="5" t="e">
        <f>SEARCH("beoordelin",D503)</f>
        <v>#VALUE!</v>
      </c>
      <c r="K495" s="1"/>
      <c r="L495" s="3"/>
      <c r="M495" s="3"/>
      <c r="N495" s="1"/>
    </row>
    <row r="496" spans="1:14" ht="13.5" thickTop="1" x14ac:dyDescent="0.2">
      <c r="A496" s="1"/>
      <c r="B496" s="1"/>
      <c r="C496" s="237" t="s">
        <v>367</v>
      </c>
      <c r="D496" s="3"/>
      <c r="E496" s="3"/>
      <c r="F496" s="3"/>
      <c r="G496" s="207" t="s">
        <v>2213</v>
      </c>
      <c r="H496" s="1"/>
      <c r="I496" s="1"/>
      <c r="J496" s="5">
        <f>ABS(ISERR(J495))</f>
        <v>1</v>
      </c>
      <c r="K496" s="5">
        <f>ABS(IF(J496=0,"1","0"))</f>
        <v>0</v>
      </c>
      <c r="L496" s="3">
        <v>1</v>
      </c>
      <c r="M496" s="3" t="s">
        <v>1788</v>
      </c>
      <c r="N496" s="1"/>
    </row>
    <row r="497" spans="1:14" x14ac:dyDescent="0.2">
      <c r="A497" s="1"/>
      <c r="B497" s="1"/>
      <c r="C497" s="208" t="s">
        <v>368</v>
      </c>
      <c r="D497" s="3"/>
      <c r="E497" s="3"/>
      <c r="F497" s="3"/>
      <c r="G497" s="237" t="s">
        <v>366</v>
      </c>
      <c r="H497" s="1"/>
      <c r="I497" s="1"/>
      <c r="J497" s="1"/>
      <c r="K497" s="1"/>
      <c r="L497" s="3"/>
      <c r="M497" s="3"/>
      <c r="N497" s="1"/>
    </row>
    <row r="498" spans="1:14" x14ac:dyDescent="0.2">
      <c r="A498" s="1"/>
      <c r="B498" s="1"/>
      <c r="C498" s="208" t="s">
        <v>369</v>
      </c>
      <c r="D498" s="3"/>
      <c r="E498" s="3"/>
      <c r="F498" s="3"/>
      <c r="G498" s="208" t="s">
        <v>2214</v>
      </c>
      <c r="H498" s="1"/>
      <c r="I498" s="1"/>
      <c r="J498" s="5" t="e">
        <f>SEARCH("ontslag",D490)</f>
        <v>#VALUE!</v>
      </c>
      <c r="K498" s="1"/>
      <c r="L498" s="3"/>
      <c r="M498" s="3"/>
      <c r="N498" s="1"/>
    </row>
    <row r="499" spans="1:14" x14ac:dyDescent="0.2">
      <c r="A499" s="1"/>
      <c r="B499" s="1"/>
      <c r="C499" s="210" t="s">
        <v>370</v>
      </c>
      <c r="D499" s="3"/>
      <c r="E499" s="3"/>
      <c r="F499" s="3"/>
      <c r="G499" s="211" t="s">
        <v>995</v>
      </c>
      <c r="H499" s="45" t="str">
        <f>IF(C507="x",M487,"")</f>
        <v/>
      </c>
      <c r="I499" s="1"/>
      <c r="J499" s="5">
        <f>ABS(ISERR(J498))</f>
        <v>1</v>
      </c>
      <c r="K499" s="5">
        <f>ABS(IF(J499=0,"1","0"))</f>
        <v>0</v>
      </c>
      <c r="L499" s="3">
        <v>1</v>
      </c>
      <c r="M499" s="3" t="s">
        <v>1786</v>
      </c>
      <c r="N499" s="1"/>
    </row>
    <row r="500" spans="1:14" ht="13.5" thickBot="1" x14ac:dyDescent="0.25">
      <c r="A500" s="1"/>
      <c r="B500" s="1" t="s">
        <v>1221</v>
      </c>
      <c r="C500" s="3"/>
      <c r="D500" s="91"/>
      <c r="E500" s="3"/>
      <c r="F500" s="91"/>
      <c r="G500" s="3"/>
      <c r="H500" s="45" t="str">
        <f>IF(C507="x",M490,"")</f>
        <v/>
      </c>
      <c r="I500" s="1"/>
      <c r="J500" s="1"/>
      <c r="K500" s="1"/>
      <c r="L500" s="3"/>
      <c r="M500" s="3"/>
      <c r="N500" s="1"/>
    </row>
    <row r="501" spans="1:14" ht="14.25" thickTop="1" thickBot="1" x14ac:dyDescent="0.25">
      <c r="A501" s="1"/>
      <c r="B501" s="1"/>
      <c r="C501" s="3"/>
      <c r="D501" s="69" t="s">
        <v>356</v>
      </c>
      <c r="E501" s="91"/>
      <c r="F501" s="69" t="s">
        <v>355</v>
      </c>
      <c r="G501" s="3"/>
      <c r="H501" s="1"/>
      <c r="I501" s="1"/>
      <c r="J501" s="1"/>
      <c r="K501" s="1"/>
      <c r="L501" s="3"/>
      <c r="M501" s="3"/>
      <c r="N501" s="1"/>
    </row>
    <row r="502" spans="1:14" ht="13.5" thickTop="1" x14ac:dyDescent="0.2">
      <c r="A502" s="1"/>
      <c r="B502" s="1"/>
      <c r="C502" s="3"/>
      <c r="D502" s="207" t="s">
        <v>363</v>
      </c>
      <c r="E502" s="3"/>
      <c r="F502" s="238" t="s">
        <v>359</v>
      </c>
      <c r="G502" s="3"/>
      <c r="H502" s="1"/>
      <c r="I502" s="1"/>
      <c r="J502" s="1"/>
      <c r="K502" s="1"/>
      <c r="L502" s="3"/>
      <c r="M502" s="3"/>
      <c r="N502" s="1"/>
    </row>
    <row r="503" spans="1:14" x14ac:dyDescent="0.2">
      <c r="A503" s="1"/>
      <c r="B503" s="1"/>
      <c r="C503" s="45" t="str">
        <f>IF(C507="x",M496,"")</f>
        <v/>
      </c>
      <c r="D503" s="211" t="s">
        <v>995</v>
      </c>
      <c r="F503" s="506" t="s">
        <v>362</v>
      </c>
      <c r="G503" s="1"/>
      <c r="H503" s="1"/>
      <c r="I503" s="1"/>
      <c r="J503" s="1"/>
      <c r="K503" s="1"/>
      <c r="L503" s="3"/>
      <c r="M503" s="3"/>
      <c r="N503" s="1"/>
    </row>
    <row r="504" spans="1:14" x14ac:dyDescent="0.2">
      <c r="A504" s="1"/>
      <c r="B504" s="1"/>
      <c r="C504" s="1"/>
      <c r="D504" s="208" t="s">
        <v>364</v>
      </c>
      <c r="E504" s="1"/>
      <c r="F504" s="506" t="s">
        <v>360</v>
      </c>
      <c r="G504" s="1"/>
      <c r="H504" s="1"/>
      <c r="I504" s="1"/>
      <c r="J504" s="1"/>
      <c r="K504" s="1"/>
      <c r="L504" s="3"/>
      <c r="M504" s="3"/>
      <c r="N504" s="1"/>
    </row>
    <row r="505" spans="1:14" x14ac:dyDescent="0.2">
      <c r="A505" s="1"/>
      <c r="C505" s="1"/>
      <c r="D505" s="507" t="s">
        <v>365</v>
      </c>
      <c r="E505" s="1"/>
      <c r="F505" s="211" t="s">
        <v>995</v>
      </c>
      <c r="G505" s="45" t="str">
        <f>IF(C507="x",M493,"")</f>
        <v/>
      </c>
      <c r="H505" s="1"/>
      <c r="I505" s="1"/>
      <c r="J505" s="1"/>
      <c r="K505" s="1"/>
      <c r="L505" s="3"/>
      <c r="M505" s="3"/>
      <c r="N505" s="1"/>
    </row>
    <row r="506" spans="1:14" x14ac:dyDescent="0.2">
      <c r="A506" s="1"/>
      <c r="B506" s="1"/>
      <c r="C506" s="1"/>
      <c r="D506" s="1"/>
      <c r="E506" s="1"/>
      <c r="F506" s="209" t="s">
        <v>361</v>
      </c>
      <c r="G506" s="1"/>
      <c r="H506" s="1"/>
      <c r="I506" s="1"/>
      <c r="J506" s="1"/>
      <c r="K506" s="1"/>
      <c r="L506" s="3"/>
      <c r="M506" s="3"/>
      <c r="N506" s="1"/>
    </row>
    <row r="507" spans="1:14" x14ac:dyDescent="0.2">
      <c r="A507" s="1"/>
      <c r="B507" s="6" t="s">
        <v>627</v>
      </c>
      <c r="C507" s="318" t="s">
        <v>995</v>
      </c>
      <c r="D507" s="1"/>
      <c r="E507" s="1"/>
      <c r="F507" s="1"/>
      <c r="G507" s="1"/>
      <c r="H507" s="1"/>
      <c r="I507" s="1"/>
      <c r="J507" s="1"/>
      <c r="K507" s="1"/>
      <c r="L507" s="3"/>
      <c r="M507" s="3"/>
      <c r="N507" s="1"/>
    </row>
    <row r="508" spans="1:14" x14ac:dyDescent="0.2">
      <c r="A508" s="1"/>
      <c r="C508" s="1"/>
      <c r="D508" s="1"/>
      <c r="E508" s="1"/>
      <c r="F508" s="1"/>
      <c r="G508" s="1"/>
      <c r="H508" s="1"/>
      <c r="I508" s="1"/>
      <c r="J508" s="1"/>
      <c r="K508" s="1"/>
      <c r="L508" s="3"/>
      <c r="M508" s="3"/>
      <c r="N508" s="1"/>
    </row>
    <row r="509" spans="1:14" x14ac:dyDescent="0.2">
      <c r="A509" s="14"/>
      <c r="B509" s="14"/>
      <c r="C509" s="14"/>
      <c r="D509" s="180"/>
      <c r="E509" s="14"/>
      <c r="F509" s="14"/>
      <c r="G509" s="14"/>
      <c r="H509" s="14"/>
      <c r="I509" s="14"/>
      <c r="J509" s="1"/>
      <c r="K509" s="1"/>
      <c r="L509" s="3"/>
      <c r="M509" s="3"/>
      <c r="N509" s="1"/>
    </row>
    <row r="510" spans="1:14" x14ac:dyDescent="0.2">
      <c r="A510" s="1"/>
      <c r="B510" s="1"/>
      <c r="C510" s="1"/>
      <c r="D510" s="1"/>
      <c r="E510" s="1"/>
      <c r="F510" s="1"/>
      <c r="G510" s="1"/>
      <c r="H510" s="1"/>
      <c r="I510" s="1"/>
      <c r="J510" s="1"/>
      <c r="K510" s="1"/>
      <c r="L510" s="3"/>
      <c r="M510" s="3"/>
      <c r="N510" s="1"/>
    </row>
    <row r="511" spans="1:14" x14ac:dyDescent="0.2">
      <c r="A511" s="1" t="s">
        <v>395</v>
      </c>
      <c r="B511" s="67" t="s">
        <v>2684</v>
      </c>
      <c r="C511" s="1"/>
      <c r="D511" s="1"/>
      <c r="E511" s="1"/>
      <c r="F511" s="1"/>
      <c r="G511" s="1"/>
      <c r="H511" s="1"/>
      <c r="I511" s="1"/>
      <c r="J511" s="5" t="e">
        <f>SEARCH("wie",C518)</f>
        <v>#VALUE!</v>
      </c>
      <c r="K511" s="1"/>
      <c r="L511" s="3"/>
      <c r="M511" s="3"/>
      <c r="N511" s="1"/>
    </row>
    <row r="512" spans="1:14" x14ac:dyDescent="0.2">
      <c r="A512" s="1"/>
      <c r="B512" s="1" t="s">
        <v>399</v>
      </c>
      <c r="C512" s="1"/>
      <c r="D512" s="1"/>
      <c r="E512" s="1"/>
      <c r="F512" s="1"/>
      <c r="G512" s="1"/>
      <c r="H512" s="1"/>
      <c r="I512" s="1"/>
      <c r="J512" s="5">
        <f>ABS(ISERR(J511))</f>
        <v>1</v>
      </c>
      <c r="K512" s="5">
        <f>ABS(IF(J512=0,"1","0"))</f>
        <v>0</v>
      </c>
      <c r="L512" s="3">
        <v>1</v>
      </c>
      <c r="M512" s="3" t="s">
        <v>1807</v>
      </c>
      <c r="N512" s="1"/>
    </row>
    <row r="513" spans="1:14" x14ac:dyDescent="0.2">
      <c r="A513" s="1"/>
      <c r="B513" s="1" t="s">
        <v>2215</v>
      </c>
      <c r="C513" s="1"/>
      <c r="D513" s="1"/>
      <c r="E513" s="1"/>
      <c r="F513" s="1"/>
      <c r="G513" s="1"/>
      <c r="H513" s="1"/>
      <c r="I513" s="1"/>
      <c r="J513" s="1"/>
      <c r="K513" s="1"/>
      <c r="L513" s="3"/>
      <c r="M513" s="3"/>
      <c r="N513" s="1"/>
    </row>
    <row r="514" spans="1:14" x14ac:dyDescent="0.2">
      <c r="A514" s="1"/>
      <c r="B514" s="1" t="s">
        <v>400</v>
      </c>
      <c r="C514" s="1"/>
      <c r="D514" s="1"/>
      <c r="E514" s="1"/>
      <c r="F514" s="1"/>
      <c r="G514" s="1"/>
      <c r="H514" s="1"/>
      <c r="I514" s="1"/>
      <c r="J514" s="5" t="e">
        <f>SEARCH("welk",C519)</f>
        <v>#VALUE!</v>
      </c>
      <c r="K514" s="1"/>
      <c r="L514" s="3"/>
      <c r="M514" s="3"/>
      <c r="N514" s="1"/>
    </row>
    <row r="515" spans="1:14" ht="13.5" thickBot="1" x14ac:dyDescent="0.25">
      <c r="A515" s="1"/>
      <c r="B515" s="81" t="s">
        <v>2216</v>
      </c>
      <c r="C515" s="1"/>
      <c r="D515" s="1"/>
      <c r="E515" s="1"/>
      <c r="F515" s="1"/>
      <c r="G515" s="1"/>
      <c r="H515" s="1"/>
      <c r="I515" s="1"/>
      <c r="J515" s="5">
        <f>ABS(ISERR(J514))</f>
        <v>1</v>
      </c>
      <c r="K515" s="5">
        <f>ABS(IF(J515=0,"1","0"))</f>
        <v>0</v>
      </c>
      <c r="L515" s="3">
        <v>1</v>
      </c>
      <c r="M515" s="3" t="s">
        <v>1808</v>
      </c>
      <c r="N515" s="1"/>
    </row>
    <row r="516" spans="1:14" ht="13.5" thickTop="1" x14ac:dyDescent="0.2">
      <c r="A516" s="1"/>
      <c r="B516" s="81" t="s">
        <v>2217</v>
      </c>
      <c r="C516" s="214" t="s">
        <v>401</v>
      </c>
      <c r="D516" s="1"/>
      <c r="E516" s="1"/>
      <c r="F516" s="1"/>
      <c r="G516" s="1"/>
      <c r="H516" s="1"/>
      <c r="I516" s="1"/>
      <c r="J516" s="1"/>
      <c r="K516" s="1"/>
      <c r="L516" s="3"/>
      <c r="M516" s="3"/>
      <c r="N516" s="1"/>
    </row>
    <row r="517" spans="1:14" ht="13.5" thickBot="1" x14ac:dyDescent="0.25">
      <c r="A517" s="1"/>
      <c r="B517" s="81" t="s">
        <v>995</v>
      </c>
      <c r="C517" s="215" t="s">
        <v>402</v>
      </c>
      <c r="D517" s="1"/>
      <c r="E517" s="1"/>
      <c r="F517" s="1"/>
      <c r="G517" s="1"/>
      <c r="H517" s="1"/>
      <c r="I517" s="1"/>
      <c r="J517" s="5" t="e">
        <f>SEARCH("wanneer",C520)</f>
        <v>#VALUE!</v>
      </c>
      <c r="K517" s="1"/>
      <c r="L517" s="3"/>
      <c r="M517" s="3"/>
      <c r="N517" s="1"/>
    </row>
    <row r="518" spans="1:14" ht="13.5" thickTop="1" x14ac:dyDescent="0.2">
      <c r="A518" s="1"/>
      <c r="B518" s="6" t="s">
        <v>945</v>
      </c>
      <c r="C518" s="216" t="s">
        <v>995</v>
      </c>
      <c r="D518" s="3">
        <f>IF(C539="x",M524,)</f>
        <v>0</v>
      </c>
      <c r="E518" s="1"/>
      <c r="F518" s="1"/>
      <c r="G518" s="1"/>
      <c r="H518" s="1"/>
      <c r="I518" s="1"/>
      <c r="J518" s="5">
        <f>ABS(ISERR(J517))</f>
        <v>1</v>
      </c>
      <c r="K518" s="5">
        <f>ABS(IF(J518=0,"1","0"))</f>
        <v>0</v>
      </c>
      <c r="L518" s="3">
        <v>1</v>
      </c>
      <c r="M518" s="3" t="s">
        <v>1809</v>
      </c>
      <c r="N518" s="1"/>
    </row>
    <row r="519" spans="1:14" x14ac:dyDescent="0.2">
      <c r="A519" s="1"/>
      <c r="B519" s="6" t="s">
        <v>403</v>
      </c>
      <c r="C519" s="217" t="s">
        <v>995</v>
      </c>
      <c r="D519" s="3">
        <f>IF(C539="x",M515,)</f>
        <v>0</v>
      </c>
      <c r="E519" s="1"/>
      <c r="F519" s="1"/>
      <c r="G519" s="1"/>
      <c r="H519" s="1"/>
      <c r="I519" s="1"/>
      <c r="J519" s="1"/>
      <c r="K519" s="1"/>
      <c r="L519" s="3"/>
      <c r="M519" s="3"/>
      <c r="N519" s="1"/>
    </row>
    <row r="520" spans="1:14" x14ac:dyDescent="0.2">
      <c r="A520" s="1"/>
      <c r="B520" s="6" t="s">
        <v>2218</v>
      </c>
      <c r="C520" s="217" t="s">
        <v>995</v>
      </c>
      <c r="D520" s="3">
        <f>IF(C539="x",M518,)</f>
        <v>0</v>
      </c>
      <c r="E520" s="1"/>
      <c r="F520" s="1"/>
      <c r="G520" s="1"/>
      <c r="H520" s="1"/>
      <c r="I520" s="1"/>
      <c r="J520" s="5" t="e">
        <f>SEARCH("waar",C521)</f>
        <v>#VALUE!</v>
      </c>
      <c r="K520" s="1"/>
      <c r="L520" s="3"/>
      <c r="M520" s="3"/>
      <c r="N520" s="1"/>
    </row>
    <row r="521" spans="1:14" x14ac:dyDescent="0.2">
      <c r="A521" s="1"/>
      <c r="B521" s="6" t="s">
        <v>2219</v>
      </c>
      <c r="C521" s="217" t="s">
        <v>995</v>
      </c>
      <c r="D521" s="3">
        <f>IF(C539="x",M521,)</f>
        <v>0</v>
      </c>
      <c r="E521" s="1"/>
      <c r="F521" s="1"/>
      <c r="G521" s="1"/>
      <c r="H521" s="1"/>
      <c r="I521" s="1"/>
      <c r="J521" s="5">
        <f>ABS(ISERR(J520))</f>
        <v>1</v>
      </c>
      <c r="K521" s="5">
        <f>ABS(IF(J521=0,"1","0"))</f>
        <v>0</v>
      </c>
      <c r="L521" s="3">
        <v>1</v>
      </c>
      <c r="M521" s="353" t="s">
        <v>1810</v>
      </c>
      <c r="N521" s="1"/>
    </row>
    <row r="522" spans="1:14" x14ac:dyDescent="0.2">
      <c r="A522" s="1"/>
      <c r="B522" s="6" t="s">
        <v>940</v>
      </c>
      <c r="C522" s="217" t="s">
        <v>995</v>
      </c>
      <c r="D522" s="3">
        <f>IF(C539="x",M524,)</f>
        <v>0</v>
      </c>
      <c r="E522" s="1"/>
      <c r="F522" s="1"/>
      <c r="G522" s="1"/>
      <c r="H522" s="1"/>
      <c r="I522" s="1"/>
      <c r="J522" s="1"/>
      <c r="K522" s="1"/>
      <c r="L522" s="3"/>
      <c r="M522" s="3"/>
      <c r="N522" s="1"/>
    </row>
    <row r="523" spans="1:14" x14ac:dyDescent="0.2">
      <c r="A523" s="1"/>
      <c r="B523" s="54" t="s">
        <v>941</v>
      </c>
      <c r="C523" s="218"/>
      <c r="D523" s="3" t="s">
        <v>995</v>
      </c>
      <c r="E523" s="1"/>
      <c r="F523" s="1"/>
      <c r="G523" s="1"/>
      <c r="H523" s="1"/>
      <c r="I523" s="1"/>
      <c r="J523" s="5" t="e">
        <f>SEARCH("Wie",C522)</f>
        <v>#VALUE!</v>
      </c>
      <c r="K523" s="1"/>
      <c r="L523" s="3"/>
      <c r="M523" s="3"/>
      <c r="N523" s="1"/>
    </row>
    <row r="524" spans="1:14" x14ac:dyDescent="0.2">
      <c r="A524" s="1"/>
      <c r="B524" s="55" t="s">
        <v>2220</v>
      </c>
      <c r="C524" s="219"/>
      <c r="D524" s="3"/>
      <c r="E524" s="1"/>
      <c r="F524" s="1"/>
      <c r="G524" s="1"/>
      <c r="H524" s="1"/>
      <c r="I524" s="1"/>
      <c r="J524" s="5">
        <f>ABS(ISERR(J523))</f>
        <v>1</v>
      </c>
      <c r="K524" s="5">
        <f>ABS(IF(J524=0,"1","0"))</f>
        <v>0</v>
      </c>
      <c r="L524" s="3">
        <v>1</v>
      </c>
      <c r="M524" s="3" t="s">
        <v>1807</v>
      </c>
      <c r="N524" s="1"/>
    </row>
    <row r="525" spans="1:14" x14ac:dyDescent="0.2">
      <c r="A525" s="1"/>
      <c r="B525" s="28" t="s">
        <v>942</v>
      </c>
      <c r="C525" s="216" t="s">
        <v>995</v>
      </c>
      <c r="D525" s="3">
        <f>IF(C539="x",M527,)</f>
        <v>0</v>
      </c>
      <c r="E525" s="1"/>
      <c r="F525" s="1"/>
      <c r="G525" s="1"/>
      <c r="H525" s="1"/>
      <c r="I525" s="1"/>
      <c r="J525" s="1"/>
      <c r="K525" s="1"/>
      <c r="L525" s="3"/>
      <c r="M525" s="3"/>
      <c r="N525" s="1"/>
    </row>
    <row r="526" spans="1:14" x14ac:dyDescent="0.2">
      <c r="A526" s="1"/>
      <c r="B526" s="54" t="s">
        <v>943</v>
      </c>
      <c r="C526" s="218"/>
      <c r="D526" s="3" t="s">
        <v>995</v>
      </c>
      <c r="E526" s="1"/>
      <c r="F526" s="1"/>
      <c r="G526" s="1"/>
      <c r="H526" s="1"/>
      <c r="I526" s="1"/>
      <c r="J526" s="5" t="e">
        <f>SEARCH("Wat",C525)</f>
        <v>#VALUE!</v>
      </c>
      <c r="K526" s="1"/>
      <c r="L526" s="3"/>
      <c r="M526" s="3"/>
      <c r="N526" s="1"/>
    </row>
    <row r="527" spans="1:14" x14ac:dyDescent="0.2">
      <c r="A527" s="1"/>
      <c r="B527" s="28" t="s">
        <v>944</v>
      </c>
      <c r="C527" s="216" t="s">
        <v>995</v>
      </c>
      <c r="D527" s="3">
        <f>IF(C539="x",M530,)</f>
        <v>0</v>
      </c>
      <c r="E527" s="1"/>
      <c r="F527" s="1"/>
      <c r="G527" s="1"/>
      <c r="H527" s="1"/>
      <c r="I527" s="1"/>
      <c r="J527" s="5">
        <f>ABS(ISERR(J526))</f>
        <v>1</v>
      </c>
      <c r="K527" s="5">
        <f>ABS(IF(J527=0,"1","0"))</f>
        <v>0</v>
      </c>
      <c r="L527" s="3">
        <v>1</v>
      </c>
      <c r="M527" s="3" t="s">
        <v>1811</v>
      </c>
      <c r="N527" s="1"/>
    </row>
    <row r="528" spans="1:14" x14ac:dyDescent="0.2">
      <c r="A528" s="1"/>
      <c r="B528" s="54" t="s">
        <v>2221</v>
      </c>
      <c r="C528" s="218"/>
      <c r="D528" s="3"/>
      <c r="E528" s="1"/>
      <c r="F528" s="1"/>
      <c r="G528" s="1"/>
      <c r="H528" s="1"/>
      <c r="I528" s="1"/>
      <c r="J528" s="1"/>
      <c r="K528" s="1"/>
      <c r="L528" s="3"/>
      <c r="M528" s="3"/>
      <c r="N528" s="1"/>
    </row>
    <row r="529" spans="1:14" x14ac:dyDescent="0.2">
      <c r="A529" s="1"/>
      <c r="B529" s="64" t="s">
        <v>2685</v>
      </c>
      <c r="C529" s="219"/>
      <c r="D529" s="3"/>
      <c r="E529" s="1"/>
      <c r="F529" s="1"/>
      <c r="G529" s="1"/>
      <c r="H529" s="1"/>
      <c r="I529" s="1"/>
      <c r="J529" s="5" t="e">
        <f>SEARCH("Waarom",C527)</f>
        <v>#VALUE!</v>
      </c>
      <c r="K529" s="1"/>
      <c r="L529" s="3"/>
      <c r="M529" s="3"/>
      <c r="N529" s="1"/>
    </row>
    <row r="530" spans="1:14" x14ac:dyDescent="0.2">
      <c r="A530" s="1"/>
      <c r="B530" s="64" t="s">
        <v>2686</v>
      </c>
      <c r="C530" s="219"/>
      <c r="D530" s="3"/>
      <c r="E530" s="1"/>
      <c r="F530" s="1"/>
      <c r="G530" s="1"/>
      <c r="H530" s="1"/>
      <c r="I530" s="1"/>
      <c r="J530" s="5">
        <f>ABS(ISERR(J529))</f>
        <v>1</v>
      </c>
      <c r="K530" s="5">
        <f>ABS(IF(J530=0,"1","0"))</f>
        <v>0</v>
      </c>
      <c r="L530" s="3">
        <v>1</v>
      </c>
      <c r="M530" s="3" t="s">
        <v>1812</v>
      </c>
      <c r="N530" s="1"/>
    </row>
    <row r="531" spans="1:14" x14ac:dyDescent="0.2">
      <c r="A531" s="1"/>
      <c r="B531" s="64" t="s">
        <v>2687</v>
      </c>
      <c r="C531" s="219"/>
      <c r="D531" s="3"/>
      <c r="E531" s="1"/>
      <c r="F531" s="1"/>
      <c r="G531" s="1"/>
      <c r="H531" s="1"/>
      <c r="I531" s="1"/>
      <c r="J531" s="1"/>
      <c r="K531" s="1"/>
      <c r="L531" s="3"/>
      <c r="M531" s="3"/>
      <c r="N531" s="1"/>
    </row>
    <row r="532" spans="1:14" x14ac:dyDescent="0.2">
      <c r="A532" s="1"/>
      <c r="B532" s="64" t="s">
        <v>2688</v>
      </c>
      <c r="C532" s="219"/>
      <c r="D532" s="3"/>
      <c r="E532" s="1"/>
      <c r="F532" s="1"/>
      <c r="G532" s="1"/>
      <c r="H532" s="1"/>
      <c r="I532" s="1"/>
      <c r="J532" s="5" t="e">
        <f>SEARCH("Wijze",C537)</f>
        <v>#VALUE!</v>
      </c>
      <c r="K532" s="1"/>
      <c r="L532" s="3"/>
      <c r="M532" s="3"/>
      <c r="N532" s="1"/>
    </row>
    <row r="533" spans="1:14" x14ac:dyDescent="0.2">
      <c r="A533" s="1"/>
      <c r="B533" s="64" t="s">
        <v>2689</v>
      </c>
      <c r="C533" s="219"/>
      <c r="D533" s="3"/>
      <c r="E533" s="1"/>
      <c r="F533" s="1"/>
      <c r="G533" s="1"/>
      <c r="H533" s="1"/>
      <c r="I533" s="1"/>
      <c r="J533" s="5">
        <f>ABS(ISERR(J532))</f>
        <v>1</v>
      </c>
      <c r="K533" s="5">
        <f>ABS(IF(J533=0,"1","0"))</f>
        <v>0</v>
      </c>
      <c r="L533" s="3">
        <v>1</v>
      </c>
      <c r="M533" s="3" t="s">
        <v>1813</v>
      </c>
      <c r="N533" s="1"/>
    </row>
    <row r="534" spans="1:14" x14ac:dyDescent="0.2">
      <c r="A534" s="1"/>
      <c r="B534" s="64" t="s">
        <v>2690</v>
      </c>
      <c r="C534" s="219"/>
      <c r="D534" s="3"/>
      <c r="E534" s="1"/>
      <c r="F534" s="1"/>
      <c r="G534" s="1"/>
      <c r="H534" s="1"/>
      <c r="I534" s="1"/>
      <c r="J534" s="1"/>
      <c r="K534" s="1"/>
      <c r="L534" s="3"/>
      <c r="M534" s="3"/>
      <c r="N534" s="1"/>
    </row>
    <row r="535" spans="1:14" x14ac:dyDescent="0.2">
      <c r="A535" s="1"/>
      <c r="B535" s="64" t="s">
        <v>2691</v>
      </c>
      <c r="C535" s="219"/>
      <c r="D535" s="3"/>
      <c r="E535" s="1"/>
      <c r="F535" s="1"/>
      <c r="G535" s="1"/>
      <c r="H535" s="1"/>
      <c r="I535" s="1"/>
      <c r="J535" s="1"/>
      <c r="K535" s="1"/>
      <c r="L535" s="3"/>
      <c r="M535" s="3"/>
      <c r="N535" s="1"/>
    </row>
    <row r="536" spans="1:14" x14ac:dyDescent="0.2">
      <c r="A536" s="1"/>
      <c r="B536" s="55" t="s">
        <v>946</v>
      </c>
      <c r="C536" s="219"/>
      <c r="D536" s="3"/>
      <c r="E536" s="1"/>
      <c r="F536" s="1"/>
      <c r="G536" s="1"/>
      <c r="H536" s="1"/>
      <c r="I536" s="1"/>
      <c r="J536" s="1"/>
      <c r="K536" s="1"/>
      <c r="L536" s="3"/>
      <c r="M536" s="3"/>
      <c r="N536" s="1"/>
    </row>
    <row r="537" spans="1:14" x14ac:dyDescent="0.2">
      <c r="A537" s="1"/>
      <c r="B537" s="28" t="s">
        <v>947</v>
      </c>
      <c r="C537" s="216" t="s">
        <v>995</v>
      </c>
      <c r="D537" s="3">
        <f>IF(C539="x",M533,)</f>
        <v>0</v>
      </c>
      <c r="E537" s="1"/>
      <c r="F537" s="1"/>
      <c r="G537" s="1"/>
      <c r="H537" s="1"/>
      <c r="I537" s="1"/>
      <c r="J537" s="1"/>
      <c r="K537" s="1"/>
      <c r="L537" s="3"/>
      <c r="M537" s="3"/>
      <c r="N537" s="1"/>
    </row>
    <row r="538" spans="1:14" x14ac:dyDescent="0.2">
      <c r="A538" s="1"/>
      <c r="B538" s="1"/>
      <c r="C538" s="1"/>
      <c r="D538" s="1"/>
      <c r="E538" s="1"/>
      <c r="F538" s="1"/>
      <c r="G538" s="1"/>
      <c r="H538" s="1"/>
      <c r="I538" s="1"/>
      <c r="J538" s="1"/>
      <c r="K538" s="1"/>
      <c r="L538" s="3"/>
      <c r="M538" s="3"/>
      <c r="N538" s="1"/>
    </row>
    <row r="539" spans="1:14" x14ac:dyDescent="0.2">
      <c r="A539" s="1"/>
      <c r="B539" s="6" t="s">
        <v>627</v>
      </c>
      <c r="C539" s="318" t="s">
        <v>995</v>
      </c>
      <c r="D539" s="1"/>
      <c r="E539" s="1"/>
      <c r="F539" s="1"/>
      <c r="G539" s="1"/>
      <c r="H539" s="1"/>
      <c r="I539" s="1"/>
      <c r="J539" s="1"/>
      <c r="K539" s="1"/>
      <c r="L539" s="3"/>
      <c r="M539" s="3"/>
      <c r="N539" s="1"/>
    </row>
    <row r="540" spans="1:14" x14ac:dyDescent="0.2">
      <c r="A540" s="1"/>
      <c r="B540" s="1"/>
      <c r="C540" s="1" t="s">
        <v>995</v>
      </c>
      <c r="D540" s="1"/>
      <c r="E540" s="1"/>
      <c r="F540" s="1"/>
      <c r="G540" s="1"/>
      <c r="H540" s="1"/>
      <c r="I540" s="1"/>
      <c r="J540" s="1"/>
      <c r="K540" s="1"/>
      <c r="L540" s="3"/>
      <c r="M540" s="3"/>
      <c r="N540" s="1"/>
    </row>
    <row r="541" spans="1:14" x14ac:dyDescent="0.2">
      <c r="A541" s="14"/>
      <c r="B541" s="14"/>
      <c r="C541" s="14"/>
      <c r="D541" s="180"/>
      <c r="E541" s="14"/>
      <c r="F541" s="14"/>
      <c r="G541" s="14"/>
      <c r="H541" s="14"/>
      <c r="I541" s="14"/>
      <c r="J541" s="1"/>
      <c r="K541" s="1"/>
      <c r="L541" s="3"/>
      <c r="M541" s="3"/>
      <c r="N541" s="1"/>
    </row>
    <row r="542" spans="1:14" x14ac:dyDescent="0.2">
      <c r="A542" s="1"/>
      <c r="B542" s="1"/>
      <c r="C542" s="1"/>
      <c r="D542" s="1"/>
      <c r="E542" s="1"/>
      <c r="F542" s="1"/>
      <c r="G542" s="1"/>
      <c r="H542" s="1"/>
      <c r="I542" s="1"/>
      <c r="J542" s="1"/>
      <c r="K542" s="1"/>
      <c r="L542" s="3"/>
      <c r="M542" s="3"/>
      <c r="N542" s="1"/>
    </row>
    <row r="543" spans="1:14" ht="26.25" thickBot="1" x14ac:dyDescent="0.25">
      <c r="A543" s="1" t="s">
        <v>23</v>
      </c>
      <c r="B543" s="103" t="s">
        <v>2222</v>
      </c>
      <c r="C543" s="102" t="s">
        <v>446</v>
      </c>
      <c r="D543" s="102" t="s">
        <v>1623</v>
      </c>
      <c r="E543" s="526" t="s">
        <v>2119</v>
      </c>
      <c r="F543" s="527" t="s">
        <v>2120</v>
      </c>
      <c r="G543" s="1"/>
      <c r="H543" s="1"/>
      <c r="I543" s="1"/>
      <c r="J543" s="1"/>
      <c r="K543" s="1"/>
      <c r="L543" s="3"/>
      <c r="M543" s="3"/>
      <c r="N543" s="1"/>
    </row>
    <row r="544" spans="1:14" ht="26.25" thickTop="1" x14ac:dyDescent="0.2">
      <c r="A544" s="1"/>
      <c r="B544" s="2" t="s">
        <v>2223</v>
      </c>
      <c r="C544" s="56" t="s">
        <v>995</v>
      </c>
      <c r="D544" s="56" t="s">
        <v>995</v>
      </c>
      <c r="E544" s="56" t="s">
        <v>995</v>
      </c>
      <c r="F544" s="56" t="s">
        <v>995</v>
      </c>
      <c r="G544" s="1"/>
      <c r="H544" s="1"/>
      <c r="I544" s="1"/>
      <c r="J544" s="1"/>
      <c r="K544" s="1"/>
      <c r="M544" s="3"/>
      <c r="N544" s="1"/>
    </row>
    <row r="545" spans="1:14" x14ac:dyDescent="0.2">
      <c r="A545" s="1"/>
      <c r="B545" s="61" t="s">
        <v>2224</v>
      </c>
      <c r="C545" s="3" t="s">
        <v>475</v>
      </c>
      <c r="D545" s="3" t="s">
        <v>476</v>
      </c>
      <c r="E545" s="3" t="s">
        <v>477</v>
      </c>
      <c r="F545" s="3" t="s">
        <v>478</v>
      </c>
      <c r="G545" s="1"/>
      <c r="H545" s="1"/>
      <c r="I545" s="1"/>
      <c r="J545" s="5" t="str">
        <f>IF(C544="x","FOUT","")</f>
        <v/>
      </c>
      <c r="K545" s="5">
        <f>ABS(IF(J545="JUIST","1","0"))</f>
        <v>0</v>
      </c>
      <c r="L545" s="3" t="s">
        <v>995</v>
      </c>
      <c r="M545" s="3"/>
      <c r="N545" s="1"/>
    </row>
    <row r="546" spans="1:14" x14ac:dyDescent="0.2">
      <c r="A546" s="1"/>
      <c r="B546" s="1" t="s">
        <v>24</v>
      </c>
      <c r="C546" s="1"/>
      <c r="D546" s="1"/>
      <c r="E546" s="1"/>
      <c r="F546" s="1"/>
      <c r="G546" s="1"/>
      <c r="H546" s="1"/>
      <c r="I546" s="1"/>
      <c r="J546" s="5" t="str">
        <f>IF(D544="x","FOUT","")</f>
        <v/>
      </c>
      <c r="K546" s="5">
        <f>ABS(IF(J546="JUIST","1","0"))</f>
        <v>0</v>
      </c>
      <c r="L546" s="3" t="s">
        <v>995</v>
      </c>
      <c r="M546" s="3"/>
      <c r="N546" s="1"/>
    </row>
    <row r="547" spans="1:14" x14ac:dyDescent="0.2">
      <c r="A547" s="1"/>
      <c r="B547" s="1" t="s">
        <v>2225</v>
      </c>
      <c r="C547" s="1"/>
      <c r="D547" s="1"/>
      <c r="E547" s="1"/>
      <c r="F547" s="1"/>
      <c r="G547" s="1"/>
      <c r="H547" s="1"/>
      <c r="I547" s="1"/>
      <c r="J547" s="5" t="str">
        <f>IF(E544="x","FOUT","")</f>
        <v/>
      </c>
      <c r="K547" s="5">
        <f>ABS(IF(J547="JUIST","1","0"))</f>
        <v>0</v>
      </c>
      <c r="L547" s="3" t="s">
        <v>995</v>
      </c>
      <c r="M547" s="3"/>
      <c r="N547" s="1"/>
    </row>
    <row r="548" spans="1:14" x14ac:dyDescent="0.2">
      <c r="A548" s="1"/>
      <c r="B548" s="80" t="s">
        <v>333</v>
      </c>
      <c r="C548" s="1"/>
      <c r="D548" s="1"/>
      <c r="E548" s="1"/>
      <c r="F548" s="1"/>
      <c r="G548" s="1"/>
      <c r="H548" s="1"/>
      <c r="I548" s="1"/>
      <c r="J548" s="5" t="str">
        <f>IF(F544="x","JUIST","")</f>
        <v/>
      </c>
      <c r="K548" s="5">
        <f>ABS(IF(J548="JUIST","1","0"))</f>
        <v>0</v>
      </c>
      <c r="L548" s="3">
        <v>1</v>
      </c>
      <c r="M548" s="3"/>
      <c r="N548" s="1"/>
    </row>
    <row r="549" spans="1:14" x14ac:dyDescent="0.2">
      <c r="A549" s="1"/>
      <c r="B549" s="81" t="s">
        <v>895</v>
      </c>
      <c r="C549" s="1"/>
      <c r="D549" s="1"/>
      <c r="E549" s="1"/>
      <c r="F549" s="1"/>
      <c r="G549" s="1"/>
      <c r="H549" s="1"/>
      <c r="I549" s="1"/>
      <c r="J549" s="79" t="s">
        <v>995</v>
      </c>
      <c r="K549" s="1"/>
      <c r="L549" s="3"/>
      <c r="M549" s="3"/>
      <c r="N549" s="1"/>
    </row>
    <row r="550" spans="1:14" x14ac:dyDescent="0.2">
      <c r="A550" s="1"/>
      <c r="B550" s="1"/>
      <c r="C550" s="1"/>
      <c r="D550" s="1"/>
      <c r="E550" s="1"/>
      <c r="F550" s="1"/>
      <c r="G550" s="1"/>
      <c r="H550" s="1"/>
      <c r="I550" s="1"/>
      <c r="K550" s="1"/>
      <c r="L550" s="3"/>
      <c r="M550" s="3"/>
      <c r="N550" s="1"/>
    </row>
    <row r="551" spans="1:14" x14ac:dyDescent="0.2">
      <c r="A551" s="1"/>
      <c r="B551" s="82" t="s">
        <v>1033</v>
      </c>
      <c r="C551" s="318" t="s">
        <v>995</v>
      </c>
      <c r="D551" s="1"/>
      <c r="E551" s="1"/>
      <c r="F551" s="1"/>
      <c r="G551" s="1"/>
      <c r="H551" s="1"/>
      <c r="I551" s="1"/>
      <c r="J551" s="1"/>
      <c r="K551" s="1"/>
      <c r="L551" s="3"/>
      <c r="M551" s="3"/>
      <c r="N551" s="1"/>
    </row>
    <row r="552" spans="1:14" x14ac:dyDescent="0.2">
      <c r="A552" s="1"/>
      <c r="B552" s="52" t="str">
        <f>J552</f>
        <v/>
      </c>
      <c r="C552" s="1"/>
      <c r="D552" s="1"/>
      <c r="E552" s="1"/>
      <c r="F552" s="1"/>
      <c r="G552" s="1"/>
      <c r="H552" s="1"/>
      <c r="I552" s="1"/>
      <c r="J552" s="73" t="str">
        <f>IF(C551="x","Het juiste antwoord is: D","")</f>
        <v/>
      </c>
      <c r="K552" s="1"/>
      <c r="L552" s="3"/>
      <c r="M552" s="5" t="s">
        <v>25</v>
      </c>
      <c r="N552" s="1"/>
    </row>
    <row r="553" spans="1:14" x14ac:dyDescent="0.2">
      <c r="A553" s="1"/>
      <c r="B553" s="1"/>
      <c r="C553" s="1"/>
      <c r="D553" s="1"/>
      <c r="E553" s="1"/>
      <c r="F553" s="1"/>
      <c r="G553" s="1"/>
      <c r="H553" s="1"/>
      <c r="I553" s="1"/>
      <c r="J553" s="1"/>
      <c r="K553" s="1"/>
      <c r="L553" s="3"/>
      <c r="M553" s="48" t="s">
        <v>995</v>
      </c>
      <c r="N553" s="1"/>
    </row>
    <row r="554" spans="1:14" x14ac:dyDescent="0.2">
      <c r="A554" s="14"/>
      <c r="B554" s="14"/>
      <c r="C554" s="14"/>
      <c r="D554" s="180"/>
      <c r="E554" s="14"/>
      <c r="F554" s="14"/>
      <c r="G554" s="14"/>
      <c r="H554" s="14"/>
      <c r="I554" s="14"/>
      <c r="J554" s="1"/>
      <c r="K554" s="1"/>
      <c r="L554" s="3"/>
      <c r="M554" s="79"/>
      <c r="N554" s="1"/>
    </row>
    <row r="555" spans="1:14" x14ac:dyDescent="0.2">
      <c r="A555" s="1"/>
      <c r="B555" s="1"/>
      <c r="C555" s="1"/>
      <c r="D555" s="1"/>
      <c r="E555" s="429"/>
      <c r="F555" s="67"/>
      <c r="G555" s="1"/>
      <c r="H555" s="1"/>
      <c r="I555" s="1"/>
      <c r="J555" s="1"/>
      <c r="K555" s="1"/>
      <c r="L555" s="3"/>
      <c r="M555" s="79"/>
      <c r="N555" s="1"/>
    </row>
    <row r="556" spans="1:14" ht="26.25" thickBot="1" x14ac:dyDescent="0.25">
      <c r="A556" s="1" t="s">
        <v>26</v>
      </c>
      <c r="B556" s="103" t="s">
        <v>2226</v>
      </c>
      <c r="C556" s="102" t="s">
        <v>446</v>
      </c>
      <c r="D556" s="102" t="s">
        <v>1623</v>
      </c>
      <c r="E556" s="526" t="s">
        <v>2119</v>
      </c>
      <c r="F556" s="527" t="s">
        <v>2120</v>
      </c>
      <c r="G556" s="1"/>
      <c r="H556" s="1"/>
      <c r="I556" s="1"/>
      <c r="J556" s="1"/>
      <c r="K556" s="1"/>
      <c r="L556" s="3"/>
      <c r="M556" s="79"/>
      <c r="N556" s="1"/>
    </row>
    <row r="557" spans="1:14" ht="26.25" thickTop="1" x14ac:dyDescent="0.2">
      <c r="A557" s="1"/>
      <c r="B557" s="531" t="s">
        <v>2228</v>
      </c>
      <c r="C557" s="56" t="s">
        <v>995</v>
      </c>
      <c r="D557" s="425" t="s">
        <v>995</v>
      </c>
      <c r="E557" s="56" t="s">
        <v>995</v>
      </c>
      <c r="F557" s="425" t="s">
        <v>995</v>
      </c>
      <c r="G557" s="1"/>
      <c r="H557" s="1"/>
      <c r="I557" s="1"/>
      <c r="J557" s="1"/>
      <c r="K557" s="1"/>
      <c r="M557" s="79"/>
      <c r="N557" s="1"/>
    </row>
    <row r="558" spans="1:14" x14ac:dyDescent="0.2">
      <c r="A558" s="1"/>
      <c r="B558" s="67"/>
      <c r="C558" s="3" t="s">
        <v>475</v>
      </c>
      <c r="D558" s="3" t="s">
        <v>476</v>
      </c>
      <c r="E558" s="3" t="s">
        <v>477</v>
      </c>
      <c r="F558" s="3" t="s">
        <v>478</v>
      </c>
      <c r="G558" s="1"/>
      <c r="H558" s="1"/>
      <c r="I558" s="1"/>
      <c r="J558" s="5" t="str">
        <f>IF(C557="x","FOUT","")</f>
        <v/>
      </c>
      <c r="K558" s="5">
        <f>ABS(IF(J558="JUIST","1","0"))</f>
        <v>0</v>
      </c>
      <c r="L558" s="3" t="s">
        <v>995</v>
      </c>
      <c r="M558" s="79"/>
      <c r="N558" s="1"/>
    </row>
    <row r="559" spans="1:14" x14ac:dyDescent="0.2">
      <c r="A559" s="1"/>
      <c r="B559" s="103" t="s">
        <v>2229</v>
      </c>
      <c r="C559" s="1"/>
      <c r="D559" s="1"/>
      <c r="E559" s="1"/>
      <c r="F559" s="1"/>
      <c r="G559" s="1"/>
      <c r="H559" s="1"/>
      <c r="I559" s="1"/>
      <c r="J559" s="5" t="str">
        <f>IF(D557="x","JUIST","")</f>
        <v/>
      </c>
      <c r="K559" s="5">
        <f>ABS(IF(J559="JUIST","1","0"))</f>
        <v>0</v>
      </c>
      <c r="L559" s="3">
        <v>1</v>
      </c>
      <c r="M559" s="79"/>
      <c r="N559" s="1"/>
    </row>
    <row r="560" spans="1:14" x14ac:dyDescent="0.2">
      <c r="A560" s="1"/>
      <c r="B560" s="519" t="s">
        <v>2227</v>
      </c>
      <c r="C560" s="1"/>
      <c r="D560" s="1"/>
      <c r="E560" s="1"/>
      <c r="F560" s="1"/>
      <c r="G560" s="1"/>
      <c r="H560" s="1"/>
      <c r="I560" s="1"/>
      <c r="J560" s="5" t="str">
        <f>IF(E557="x","FOUT","")</f>
        <v/>
      </c>
      <c r="K560" s="5">
        <f>ABS(IF(J560="JUIST","1","0"))</f>
        <v>0</v>
      </c>
      <c r="L560" s="3" t="s">
        <v>995</v>
      </c>
      <c r="M560" s="79"/>
      <c r="N560" s="1"/>
    </row>
    <row r="561" spans="1:14" x14ac:dyDescent="0.2">
      <c r="A561" s="1"/>
      <c r="B561" s="67" t="s">
        <v>1891</v>
      </c>
      <c r="C561" s="1"/>
      <c r="D561" s="1"/>
      <c r="E561" s="1"/>
      <c r="F561" s="1"/>
      <c r="G561" s="1"/>
      <c r="H561" s="1"/>
      <c r="I561" s="1"/>
      <c r="J561" s="5" t="str">
        <f>IF(F557="x","FOUT","")</f>
        <v/>
      </c>
      <c r="K561" s="5">
        <f>ABS(IF(J561="JUIST","1","0"))</f>
        <v>0</v>
      </c>
      <c r="L561" s="430" t="s">
        <v>995</v>
      </c>
      <c r="M561" s="79"/>
      <c r="N561" s="1"/>
    </row>
    <row r="562" spans="1:14" x14ac:dyDescent="0.2">
      <c r="A562" s="1"/>
      <c r="B562" s="519" t="s">
        <v>2230</v>
      </c>
      <c r="C562" s="1"/>
      <c r="D562" s="1"/>
      <c r="E562" s="67"/>
      <c r="F562" s="1"/>
      <c r="G562" s="1"/>
      <c r="H562" s="1"/>
      <c r="I562" s="1"/>
      <c r="J562" s="1"/>
      <c r="K562" s="1"/>
      <c r="L562" s="3"/>
      <c r="M562" s="79"/>
      <c r="N562" s="1"/>
    </row>
    <row r="563" spans="1:14" x14ac:dyDescent="0.2">
      <c r="A563" s="1"/>
      <c r="B563" s="1"/>
      <c r="C563" s="67"/>
      <c r="D563" s="67"/>
      <c r="E563" s="67"/>
      <c r="F563" s="67"/>
      <c r="G563" s="1"/>
      <c r="H563" s="1"/>
      <c r="I563" s="1"/>
      <c r="J563" s="1"/>
      <c r="K563" s="1"/>
      <c r="L563" s="3"/>
      <c r="M563" s="79"/>
      <c r="N563" s="1"/>
    </row>
    <row r="564" spans="1:14" x14ac:dyDescent="0.2">
      <c r="A564" s="1"/>
      <c r="B564" s="82" t="s">
        <v>1033</v>
      </c>
      <c r="C564" s="318" t="s">
        <v>995</v>
      </c>
      <c r="D564" s="1"/>
      <c r="E564" s="1"/>
      <c r="F564" s="1"/>
      <c r="G564" s="1"/>
      <c r="H564" s="1"/>
      <c r="I564" s="1"/>
      <c r="J564" s="1"/>
      <c r="K564" s="1"/>
      <c r="L564" s="3"/>
      <c r="M564" s="3"/>
      <c r="N564" s="1"/>
    </row>
    <row r="565" spans="1:14" x14ac:dyDescent="0.2">
      <c r="A565" s="1"/>
      <c r="B565" s="52" t="str">
        <f>J565</f>
        <v/>
      </c>
      <c r="C565" s="1"/>
      <c r="D565" s="1"/>
      <c r="E565" s="1"/>
      <c r="F565" s="1"/>
      <c r="G565" s="1"/>
      <c r="H565" s="1"/>
      <c r="I565" s="1"/>
      <c r="J565" s="73" t="str">
        <f>IF(C564="x","Het juiste antwoord is: B","")</f>
        <v/>
      </c>
      <c r="K565" s="1"/>
      <c r="L565" s="3"/>
      <c r="M565" s="5" t="s">
        <v>25</v>
      </c>
      <c r="N565" s="1"/>
    </row>
    <row r="566" spans="1:14" x14ac:dyDescent="0.2">
      <c r="A566" s="1"/>
      <c r="B566" s="1"/>
      <c r="C566" s="1"/>
      <c r="D566" s="67"/>
      <c r="E566" s="67"/>
      <c r="F566" s="67"/>
      <c r="G566" s="1"/>
      <c r="H566" s="1"/>
      <c r="I566" s="1"/>
      <c r="J566" s="1"/>
      <c r="K566" s="1"/>
      <c r="L566" s="3"/>
      <c r="M566" s="79"/>
      <c r="N566" s="1"/>
    </row>
    <row r="567" spans="1:14" x14ac:dyDescent="0.2">
      <c r="A567" s="14"/>
      <c r="B567" s="14"/>
      <c r="C567" s="14"/>
      <c r="D567" s="180"/>
      <c r="E567" s="14"/>
      <c r="F567" s="14"/>
      <c r="G567" s="14"/>
      <c r="H567" s="14"/>
      <c r="I567" s="14"/>
      <c r="J567" s="1"/>
      <c r="K567" s="1"/>
      <c r="L567" s="3"/>
      <c r="M567" s="79"/>
      <c r="N567" s="1"/>
    </row>
    <row r="568" spans="1:14" x14ac:dyDescent="0.2">
      <c r="A568" s="1"/>
      <c r="B568" s="1"/>
      <c r="C568" s="1"/>
      <c r="D568" s="1"/>
      <c r="E568" s="67"/>
      <c r="F568" s="67"/>
      <c r="G568" s="1"/>
      <c r="H568" s="1"/>
      <c r="I568" s="1"/>
      <c r="J568" s="1"/>
      <c r="K568" s="1"/>
      <c r="L568" s="3"/>
      <c r="M568" s="79"/>
      <c r="N568" s="1"/>
    </row>
    <row r="569" spans="1:14" x14ac:dyDescent="0.2">
      <c r="A569" s="67" t="s">
        <v>45</v>
      </c>
      <c r="B569" s="67" t="s">
        <v>1904</v>
      </c>
      <c r="C569" s="1"/>
      <c r="D569" s="426"/>
      <c r="E569" s="435" t="s">
        <v>1912</v>
      </c>
      <c r="F569" s="431" t="s">
        <v>1913</v>
      </c>
      <c r="G569" s="1"/>
      <c r="H569" s="1"/>
      <c r="I569" s="1"/>
      <c r="J569" s="1"/>
      <c r="K569" s="1"/>
      <c r="L569" s="3"/>
      <c r="M569" s="79"/>
      <c r="N569" s="1"/>
    </row>
    <row r="570" spans="1:14" x14ac:dyDescent="0.2">
      <c r="A570" s="1"/>
      <c r="B570" s="519" t="s">
        <v>2231</v>
      </c>
      <c r="C570" s="1"/>
      <c r="D570" s="426"/>
      <c r="E570" s="436"/>
      <c r="F570" s="65"/>
      <c r="G570" s="1"/>
      <c r="H570" s="1"/>
      <c r="I570" s="1"/>
      <c r="J570" s="5" t="str">
        <f>IF(E577="x","FOUT","")</f>
        <v/>
      </c>
      <c r="K570" s="5">
        <f t="shared" ref="K570:K577" si="4">ABS(IF(J570="JUIST","1","0"))</f>
        <v>0</v>
      </c>
      <c r="L570" s="3"/>
      <c r="M570" s="79"/>
      <c r="N570" s="1"/>
    </row>
    <row r="571" spans="1:14" x14ac:dyDescent="0.2">
      <c r="A571" s="1"/>
      <c r="B571" s="67" t="s">
        <v>1905</v>
      </c>
      <c r="C571" s="1"/>
      <c r="D571" s="426"/>
      <c r="E571" s="436" t="s">
        <v>1893</v>
      </c>
      <c r="F571" s="65" t="s">
        <v>1897</v>
      </c>
      <c r="G571" s="1"/>
      <c r="H571" s="1"/>
      <c r="I571" s="1"/>
      <c r="J571" s="5" t="str">
        <f>IF(F577="x","FOUT","")</f>
        <v/>
      </c>
      <c r="K571" s="5">
        <f t="shared" si="4"/>
        <v>0</v>
      </c>
      <c r="L571" s="3"/>
      <c r="M571" s="79"/>
      <c r="N571" s="1"/>
    </row>
    <row r="572" spans="1:14" x14ac:dyDescent="0.2">
      <c r="A572" s="1"/>
      <c r="B572" s="519" t="s">
        <v>2232</v>
      </c>
      <c r="C572" s="1"/>
      <c r="D572" s="426"/>
      <c r="E572" s="436" t="s">
        <v>1892</v>
      </c>
      <c r="F572" s="65" t="s">
        <v>1898</v>
      </c>
      <c r="G572" s="1"/>
      <c r="H572" s="1"/>
      <c r="I572" s="1"/>
      <c r="J572" s="5" t="str">
        <f>IF(E578="x","JUIST","")</f>
        <v/>
      </c>
      <c r="K572" s="5">
        <f t="shared" si="4"/>
        <v>0</v>
      </c>
      <c r="L572" s="3">
        <v>1</v>
      </c>
      <c r="M572" s="79"/>
      <c r="N572" s="1"/>
    </row>
    <row r="573" spans="1:14" x14ac:dyDescent="0.2">
      <c r="A573" s="1"/>
      <c r="B573" s="519" t="s">
        <v>2233</v>
      </c>
      <c r="C573" s="1"/>
      <c r="D573" s="426"/>
      <c r="E573" s="436" t="s">
        <v>1894</v>
      </c>
      <c r="F573" s="65" t="s">
        <v>1899</v>
      </c>
      <c r="G573" s="1"/>
      <c r="H573" s="1"/>
      <c r="I573" s="1"/>
      <c r="J573" s="5" t="str">
        <f>IF(F578="x","JUIST","")</f>
        <v/>
      </c>
      <c r="K573" s="5">
        <f t="shared" si="4"/>
        <v>0</v>
      </c>
      <c r="L573" s="3">
        <v>1</v>
      </c>
      <c r="M573" s="449" t="s">
        <v>1916</v>
      </c>
      <c r="N573" s="1"/>
    </row>
    <row r="574" spans="1:14" x14ac:dyDescent="0.2">
      <c r="A574" s="1"/>
      <c r="B574" s="519" t="s">
        <v>2234</v>
      </c>
      <c r="C574" s="1"/>
      <c r="D574" s="426"/>
      <c r="E574" s="436" t="s">
        <v>1895</v>
      </c>
      <c r="F574" s="65" t="s">
        <v>1900</v>
      </c>
      <c r="G574" s="1"/>
      <c r="H574" s="1"/>
      <c r="I574" s="1"/>
      <c r="J574" s="5" t="str">
        <f>IF(E579="x","FOUT","")</f>
        <v/>
      </c>
      <c r="K574" s="5">
        <f t="shared" si="4"/>
        <v>0</v>
      </c>
      <c r="L574" s="3"/>
      <c r="M574" s="449" t="s">
        <v>1914</v>
      </c>
      <c r="N574" s="1"/>
    </row>
    <row r="575" spans="1:14" x14ac:dyDescent="0.2">
      <c r="A575" s="1"/>
      <c r="B575" s="67" t="s">
        <v>1908</v>
      </c>
      <c r="C575" s="1"/>
      <c r="D575" s="440" t="s">
        <v>1906</v>
      </c>
      <c r="E575" s="65" t="s">
        <v>1896</v>
      </c>
      <c r="F575" s="65" t="s">
        <v>995</v>
      </c>
      <c r="G575" s="1"/>
      <c r="H575" s="1"/>
      <c r="I575" s="1"/>
      <c r="J575" s="5" t="str">
        <f>IF(F580="x","FOUT","")</f>
        <v/>
      </c>
      <c r="K575" s="5">
        <f t="shared" si="4"/>
        <v>0</v>
      </c>
      <c r="L575" s="3"/>
      <c r="M575" s="449" t="s">
        <v>1915</v>
      </c>
      <c r="N575" s="1"/>
    </row>
    <row r="576" spans="1:14" ht="13.5" thickBot="1" x14ac:dyDescent="0.25">
      <c r="A576" s="1"/>
      <c r="B576" s="67" t="s">
        <v>1909</v>
      </c>
      <c r="C576" s="1"/>
      <c r="D576" s="439" t="s">
        <v>1907</v>
      </c>
      <c r="E576" s="437"/>
      <c r="F576" s="135"/>
      <c r="G576" s="1"/>
      <c r="H576" s="1"/>
      <c r="I576" s="1"/>
      <c r="J576" s="5" t="str">
        <f>IF(E580="x","FOUT","")</f>
        <v/>
      </c>
      <c r="K576" s="5">
        <f t="shared" si="4"/>
        <v>0</v>
      </c>
      <c r="L576" s="3"/>
      <c r="M576" s="79"/>
      <c r="N576" s="1"/>
    </row>
    <row r="577" spans="1:14" ht="13.5" thickTop="1" x14ac:dyDescent="0.2">
      <c r="A577" s="1"/>
      <c r="B577" s="67" t="s">
        <v>1910</v>
      </c>
      <c r="C577" s="1">
        <v>1</v>
      </c>
      <c r="D577" s="432" t="s">
        <v>1708</v>
      </c>
      <c r="E577" s="444" t="s">
        <v>995</v>
      </c>
      <c r="F577" s="441" t="s">
        <v>995</v>
      </c>
      <c r="G577" s="37">
        <f>IF(C583="x",M574,)</f>
        <v>0</v>
      </c>
      <c r="H577" s="1"/>
      <c r="I577" s="1"/>
      <c r="J577" s="5" t="str">
        <f>IF(F580="x","JUIST","")</f>
        <v/>
      </c>
      <c r="K577" s="5">
        <f t="shared" si="4"/>
        <v>0</v>
      </c>
      <c r="L577" s="3">
        <v>1</v>
      </c>
      <c r="M577" s="79"/>
      <c r="N577" s="1"/>
    </row>
    <row r="578" spans="1:14" ht="25.5" x14ac:dyDescent="0.2">
      <c r="A578" s="1"/>
      <c r="B578" s="1"/>
      <c r="C578" s="1">
        <v>2</v>
      </c>
      <c r="D578" s="433" t="s">
        <v>1903</v>
      </c>
      <c r="E578" s="445" t="s">
        <v>995</v>
      </c>
      <c r="F578" s="443" t="s">
        <v>995</v>
      </c>
      <c r="G578" s="37">
        <f>IF(C583="x",M573,)</f>
        <v>0</v>
      </c>
      <c r="H578" s="1"/>
      <c r="I578" s="1"/>
      <c r="J578" s="5" t="str">
        <f>IF(E581="x","FOUT","")</f>
        <v/>
      </c>
      <c r="K578" s="5">
        <f t="shared" ref="K578:K579" si="5">ABS(IF(J578="JUIST","1","0"))</f>
        <v>0</v>
      </c>
      <c r="L578" s="3"/>
      <c r="M578" s="79"/>
      <c r="N578" s="1"/>
    </row>
    <row r="579" spans="1:14" x14ac:dyDescent="0.2">
      <c r="A579" s="1"/>
      <c r="B579" s="1"/>
      <c r="C579" s="1">
        <v>3</v>
      </c>
      <c r="D579" s="433" t="s">
        <v>1902</v>
      </c>
      <c r="E579" s="446" t="s">
        <v>995</v>
      </c>
      <c r="F579" s="442" t="s">
        <v>995</v>
      </c>
      <c r="G579" s="37">
        <f>IF(C583="x",M574,)</f>
        <v>0</v>
      </c>
      <c r="H579" s="1"/>
      <c r="I579" s="1"/>
      <c r="J579" s="5" t="str">
        <f>IF(F581="x","FOUT","")</f>
        <v/>
      </c>
      <c r="K579" s="5">
        <f t="shared" si="5"/>
        <v>0</v>
      </c>
      <c r="L579" s="3"/>
      <c r="M579" s="79"/>
      <c r="N579" s="1"/>
    </row>
    <row r="580" spans="1:14" ht="25.5" x14ac:dyDescent="0.2">
      <c r="A580" s="1"/>
      <c r="B580" s="1"/>
      <c r="C580" s="1">
        <v>4</v>
      </c>
      <c r="D580" s="433" t="s">
        <v>1901</v>
      </c>
      <c r="E580" s="446" t="s">
        <v>995</v>
      </c>
      <c r="F580" s="443" t="s">
        <v>995</v>
      </c>
      <c r="G580" s="37">
        <f>IF(C583="x",M575,)</f>
        <v>0</v>
      </c>
      <c r="H580" s="1"/>
      <c r="I580" s="1"/>
      <c r="J580" s="1"/>
      <c r="K580" s="1"/>
      <c r="L580" s="3"/>
      <c r="M580" s="79"/>
      <c r="N580" s="1"/>
    </row>
    <row r="581" spans="1:14" x14ac:dyDescent="0.2">
      <c r="A581" s="1"/>
      <c r="B581" s="1"/>
      <c r="C581" s="1">
        <v>5</v>
      </c>
      <c r="D581" s="434" t="s">
        <v>1911</v>
      </c>
      <c r="E581" s="446" t="s">
        <v>995</v>
      </c>
      <c r="F581" s="442" t="s">
        <v>995</v>
      </c>
      <c r="G581" s="37">
        <f>IF(C583="x",M574,)</f>
        <v>0</v>
      </c>
      <c r="H581" s="1"/>
      <c r="I581" s="1"/>
      <c r="J581" s="1"/>
      <c r="K581" s="1"/>
      <c r="L581" s="3"/>
      <c r="M581" s="79"/>
      <c r="N581" s="1"/>
    </row>
    <row r="582" spans="1:14" x14ac:dyDescent="0.2">
      <c r="A582" s="1"/>
      <c r="B582" s="1"/>
      <c r="C582" s="1"/>
      <c r="D582" s="1"/>
      <c r="E582" s="1"/>
      <c r="F582" s="1"/>
      <c r="G582" s="1"/>
      <c r="H582" s="1"/>
      <c r="I582" s="1"/>
      <c r="J582" s="1"/>
      <c r="K582" s="1"/>
      <c r="L582" s="3"/>
      <c r="M582" s="79"/>
      <c r="N582" s="1"/>
    </row>
    <row r="583" spans="1:14" x14ac:dyDescent="0.2">
      <c r="A583" s="1"/>
      <c r="B583" s="82" t="s">
        <v>1033</v>
      </c>
      <c r="C583" s="318" t="s">
        <v>995</v>
      </c>
      <c r="D583" s="1"/>
      <c r="E583" s="1"/>
      <c r="F583" s="1"/>
      <c r="G583" s="1"/>
      <c r="H583" s="1"/>
      <c r="I583" s="1"/>
      <c r="J583" s="1"/>
      <c r="K583" s="1"/>
      <c r="L583" s="3"/>
      <c r="M583" s="3"/>
      <c r="N583" s="1"/>
    </row>
    <row r="584" spans="1:14" ht="42" customHeight="1" x14ac:dyDescent="0.2">
      <c r="A584" s="1"/>
      <c r="B584" s="448">
        <f>J584</f>
        <v>0</v>
      </c>
      <c r="C584" s="1"/>
      <c r="D584" s="1"/>
      <c r="E584" s="1"/>
      <c r="F584" s="1"/>
      <c r="G584" s="1"/>
      <c r="H584" s="1"/>
      <c r="I584" s="1"/>
      <c r="J584" s="447">
        <f>IF(C583="x","P-instrument 2 kan bij P-doelen A en B helpen. P-instrument 4 helpt bij P-doel B (niet bij A! Mensen dicht bij elkaar zetten bevordert kennisdeling, maar niet het bewustzijn daartoe!",)</f>
        <v>0</v>
      </c>
      <c r="K584" s="1"/>
      <c r="L584" s="3"/>
      <c r="M584" s="5" t="s">
        <v>25</v>
      </c>
      <c r="N584" s="1"/>
    </row>
    <row r="585" spans="1:14" x14ac:dyDescent="0.2">
      <c r="A585" s="1"/>
      <c r="B585" s="1"/>
      <c r="C585" s="1"/>
      <c r="D585" s="1"/>
      <c r="E585" s="1"/>
      <c r="F585" s="1"/>
      <c r="G585" s="1"/>
      <c r="H585" s="1"/>
      <c r="I585" s="1"/>
      <c r="J585" s="1"/>
      <c r="K585" s="1"/>
      <c r="L585" s="3"/>
      <c r="M585" s="79"/>
      <c r="N585" s="1"/>
    </row>
    <row r="586" spans="1:14" x14ac:dyDescent="0.2">
      <c r="A586" s="14"/>
      <c r="B586" s="14"/>
      <c r="C586" s="14"/>
      <c r="D586" s="180"/>
      <c r="E586" s="14"/>
      <c r="F586" s="14"/>
      <c r="G586" s="14"/>
      <c r="H586" s="14"/>
      <c r="I586" s="14"/>
      <c r="J586" s="1"/>
      <c r="K586" s="1"/>
      <c r="L586" s="3"/>
      <c r="M586" s="79">
        <v>0</v>
      </c>
      <c r="N586" s="1"/>
    </row>
    <row r="587" spans="1:14" x14ac:dyDescent="0.2">
      <c r="A587" s="1"/>
      <c r="B587" s="1"/>
      <c r="C587" s="1"/>
      <c r="D587" s="1"/>
      <c r="E587" s="1"/>
      <c r="F587" s="1"/>
      <c r="G587" s="1"/>
      <c r="H587" s="1"/>
      <c r="I587" s="1"/>
      <c r="J587" s="1"/>
      <c r="K587" s="1"/>
      <c r="L587" s="3"/>
      <c r="M587" s="3"/>
      <c r="N587" s="1"/>
    </row>
    <row r="588" spans="1:14" x14ac:dyDescent="0.2">
      <c r="A588" s="67" t="s">
        <v>50</v>
      </c>
      <c r="B588" s="1" t="s">
        <v>27</v>
      </c>
      <c r="C588" s="1"/>
      <c r="D588" s="1"/>
      <c r="E588" s="1"/>
      <c r="F588" s="62" t="s">
        <v>1229</v>
      </c>
      <c r="G588" s="63"/>
      <c r="H588" s="1"/>
      <c r="I588" s="1"/>
      <c r="J588" s="1"/>
      <c r="K588" s="1"/>
      <c r="L588" s="3"/>
      <c r="M588" s="3"/>
      <c r="N588" s="1"/>
    </row>
    <row r="589" spans="1:14" x14ac:dyDescent="0.2">
      <c r="A589" s="1"/>
      <c r="B589" s="80" t="s">
        <v>1037</v>
      </c>
      <c r="C589" s="1"/>
      <c r="D589" s="1"/>
      <c r="E589" s="1"/>
      <c r="F589" s="241" t="s">
        <v>1223</v>
      </c>
      <c r="G589" s="157"/>
      <c r="H589" s="1"/>
      <c r="I589" s="1"/>
      <c r="J589" s="1"/>
      <c r="K589" s="1"/>
      <c r="L589" s="3"/>
      <c r="M589" s="3"/>
      <c r="N589" s="1"/>
    </row>
    <row r="590" spans="1:14" x14ac:dyDescent="0.2">
      <c r="A590" s="1"/>
      <c r="B590" s="81" t="s">
        <v>895</v>
      </c>
      <c r="C590" s="1"/>
      <c r="D590" s="1"/>
      <c r="E590" s="1"/>
      <c r="G590" s="94"/>
      <c r="H590" s="1"/>
      <c r="I590" s="1"/>
      <c r="J590" s="1"/>
      <c r="K590" s="1"/>
      <c r="L590" s="3"/>
      <c r="M590" s="3"/>
      <c r="N590" s="1"/>
    </row>
    <row r="591" spans="1:14" x14ac:dyDescent="0.2">
      <c r="A591" s="1"/>
      <c r="B591" s="1"/>
      <c r="C591" s="1"/>
      <c r="D591" s="1"/>
      <c r="E591" s="1"/>
      <c r="F591" s="1"/>
      <c r="G591" s="1"/>
      <c r="H591" s="1"/>
      <c r="I591" s="1"/>
      <c r="J591" s="1"/>
      <c r="K591" s="1"/>
      <c r="L591" s="3"/>
      <c r="M591" s="3"/>
      <c r="N591" s="1"/>
    </row>
    <row r="592" spans="1:14" x14ac:dyDescent="0.2">
      <c r="A592" s="26" t="s">
        <v>999</v>
      </c>
      <c r="B592" s="22" t="s">
        <v>28</v>
      </c>
      <c r="C592" s="24" t="s">
        <v>995</v>
      </c>
      <c r="D592" s="37" t="str">
        <f>J592</f>
        <v/>
      </c>
      <c r="E592" s="1"/>
      <c r="F592" s="1"/>
      <c r="G592" s="1"/>
      <c r="H592" s="1"/>
      <c r="I592" s="1"/>
      <c r="J592" s="5" t="str">
        <f>IF(C592="x","FOUT","")</f>
        <v/>
      </c>
      <c r="K592" s="5">
        <f>ABS(IF(J592="JUIST","1","0"))</f>
        <v>0</v>
      </c>
      <c r="L592" s="3" t="s">
        <v>995</v>
      </c>
      <c r="M592" s="3"/>
      <c r="N592" s="1"/>
    </row>
    <row r="593" spans="1:14" x14ac:dyDescent="0.2">
      <c r="A593" s="26" t="s">
        <v>1000</v>
      </c>
      <c r="B593" s="22" t="s">
        <v>30</v>
      </c>
      <c r="C593" s="24" t="s">
        <v>995</v>
      </c>
      <c r="D593" s="37" t="str">
        <f>J593</f>
        <v/>
      </c>
      <c r="E593" s="1"/>
      <c r="F593" s="1"/>
      <c r="G593" s="1"/>
      <c r="H593" s="1"/>
      <c r="I593" s="1"/>
      <c r="J593" s="5" t="str">
        <f>IF(C593="x","FOUT","")</f>
        <v/>
      </c>
      <c r="K593" s="5">
        <f>ABS(IF(J593="JUIST","1","0"))</f>
        <v>0</v>
      </c>
      <c r="L593" s="3" t="s">
        <v>995</v>
      </c>
      <c r="M593" s="3"/>
      <c r="N593" s="1"/>
    </row>
    <row r="594" spans="1:14" x14ac:dyDescent="0.2">
      <c r="A594" s="26" t="s">
        <v>1001</v>
      </c>
      <c r="B594" s="22" t="s">
        <v>29</v>
      </c>
      <c r="C594" s="24" t="s">
        <v>995</v>
      </c>
      <c r="D594" s="37" t="str">
        <f>J594</f>
        <v/>
      </c>
      <c r="E594" s="1"/>
      <c r="F594" s="1"/>
      <c r="G594" s="1"/>
      <c r="H594" s="1"/>
      <c r="I594" s="1"/>
      <c r="J594" s="5" t="str">
        <f>IF(C594="x","JUIST","")</f>
        <v/>
      </c>
      <c r="K594" s="5">
        <f>ABS(IF(J594="JUIST","1","0"))</f>
        <v>0</v>
      </c>
      <c r="L594" s="3">
        <v>1</v>
      </c>
      <c r="M594" s="3"/>
      <c r="N594" s="1"/>
    </row>
    <row r="595" spans="1:14" x14ac:dyDescent="0.2">
      <c r="A595" s="26" t="s">
        <v>1002</v>
      </c>
      <c r="B595" s="22" t="s">
        <v>31</v>
      </c>
      <c r="C595" s="24" t="s">
        <v>995</v>
      </c>
      <c r="D595" s="37" t="str">
        <f>J595</f>
        <v/>
      </c>
      <c r="E595" s="1"/>
      <c r="F595" s="1"/>
      <c r="G595" s="1"/>
      <c r="H595" s="1"/>
      <c r="I595" s="1"/>
      <c r="J595" s="5" t="str">
        <f>IF(C595="x","FOUT","")</f>
        <v/>
      </c>
      <c r="K595" s="5">
        <f>ABS(IF(J595="JUIST","1","0"))</f>
        <v>0</v>
      </c>
      <c r="L595" s="3"/>
      <c r="M595" s="3"/>
      <c r="N595" s="1"/>
    </row>
    <row r="596" spans="1:14" x14ac:dyDescent="0.2">
      <c r="A596" s="1"/>
      <c r="B596" s="1"/>
      <c r="C596" s="1"/>
      <c r="D596" s="1"/>
      <c r="E596" s="1"/>
      <c r="F596" s="1"/>
      <c r="G596" s="1"/>
      <c r="H596" s="1"/>
      <c r="I596" s="1"/>
      <c r="J596" s="1"/>
      <c r="K596" s="1"/>
      <c r="L596" s="3"/>
      <c r="M596" s="3"/>
      <c r="N596" s="1"/>
    </row>
    <row r="597" spans="1:14" x14ac:dyDescent="0.2">
      <c r="A597" s="1"/>
      <c r="B597" s="82" t="s">
        <v>1033</v>
      </c>
      <c r="C597" s="318" t="s">
        <v>995</v>
      </c>
      <c r="D597" s="1"/>
      <c r="E597" s="1"/>
      <c r="F597" s="1"/>
      <c r="G597" s="1"/>
      <c r="H597" s="1"/>
      <c r="I597" s="1"/>
      <c r="J597" s="1"/>
      <c r="K597" s="1"/>
      <c r="L597" s="3"/>
      <c r="M597" s="3"/>
      <c r="N597" s="1"/>
    </row>
    <row r="598" spans="1:14" x14ac:dyDescent="0.2">
      <c r="A598" s="1"/>
      <c r="B598" s="52" t="str">
        <f>J598</f>
        <v/>
      </c>
      <c r="C598" s="1"/>
      <c r="D598" s="1"/>
      <c r="E598" s="1"/>
      <c r="F598" s="1"/>
      <c r="G598" s="1"/>
      <c r="H598" s="1"/>
      <c r="I598" s="1"/>
      <c r="J598" s="73" t="str">
        <f>IF(C597="x","Het juiste antwoord is: C","")</f>
        <v/>
      </c>
      <c r="K598" s="1"/>
      <c r="L598" s="3"/>
      <c r="M598" s="3"/>
      <c r="N598" s="1"/>
    </row>
    <row r="599" spans="1:14" x14ac:dyDescent="0.2">
      <c r="A599" s="14"/>
      <c r="B599" s="14"/>
      <c r="C599" s="14"/>
      <c r="D599" s="180"/>
      <c r="E599" s="14"/>
      <c r="F599" s="14"/>
      <c r="G599" s="14"/>
      <c r="H599" s="14"/>
      <c r="I599" s="14"/>
      <c r="J599" s="1"/>
      <c r="K599" s="1"/>
      <c r="L599" s="3"/>
      <c r="M599" s="3"/>
      <c r="N599" s="1"/>
    </row>
    <row r="600" spans="1:14" x14ac:dyDescent="0.2">
      <c r="A600" s="1"/>
      <c r="B600" s="1"/>
      <c r="C600" s="1"/>
      <c r="D600" s="1"/>
      <c r="E600" s="1"/>
      <c r="F600" s="1"/>
      <c r="G600" s="1"/>
      <c r="H600" s="1"/>
      <c r="I600" s="1"/>
      <c r="J600" s="1"/>
      <c r="K600" s="1"/>
      <c r="L600" s="3"/>
      <c r="M600" s="3"/>
      <c r="N600" s="1"/>
    </row>
    <row r="601" spans="1:14" x14ac:dyDescent="0.2">
      <c r="A601" s="67" t="s">
        <v>55</v>
      </c>
      <c r="B601" s="1" t="s">
        <v>46</v>
      </c>
      <c r="C601" s="1"/>
      <c r="D601" s="1" t="s">
        <v>44</v>
      </c>
      <c r="E601" s="1"/>
      <c r="F601" s="1"/>
      <c r="G601" s="1"/>
      <c r="I601" s="1"/>
      <c r="J601" s="5" t="e">
        <f>SEARCH("motivatie",H604)</f>
        <v>#VALUE!</v>
      </c>
      <c r="K601" s="1"/>
      <c r="L601" s="3"/>
      <c r="M601" s="3"/>
      <c r="N601" s="1"/>
    </row>
    <row r="602" spans="1:14" x14ac:dyDescent="0.2">
      <c r="A602" s="1"/>
      <c r="B602" s="1" t="s">
        <v>47</v>
      </c>
      <c r="C602" s="1"/>
      <c r="D602" s="1"/>
      <c r="E602" s="1"/>
      <c r="F602" s="1"/>
      <c r="G602" s="1"/>
      <c r="H602" s="54" t="s">
        <v>32</v>
      </c>
      <c r="I602" s="1"/>
      <c r="J602" s="5">
        <f>ABS(ISERR(J601))</f>
        <v>1</v>
      </c>
      <c r="K602" s="5">
        <f>ABS(IF(J602=0,"1","0"))</f>
        <v>0</v>
      </c>
      <c r="L602" s="3">
        <v>1</v>
      </c>
      <c r="M602" s="3"/>
      <c r="N602" s="1"/>
    </row>
    <row r="603" spans="1:14" x14ac:dyDescent="0.2">
      <c r="A603" s="1"/>
      <c r="B603" s="1" t="s">
        <v>48</v>
      </c>
      <c r="C603" s="1"/>
      <c r="D603" s="1"/>
      <c r="E603" s="1"/>
      <c r="F603" s="1"/>
      <c r="G603" s="1"/>
      <c r="H603" s="55" t="s">
        <v>33</v>
      </c>
      <c r="I603" s="1"/>
      <c r="J603" s="1"/>
      <c r="K603" s="1"/>
      <c r="L603" s="3"/>
      <c r="M603" s="3"/>
      <c r="N603" s="1"/>
    </row>
    <row r="604" spans="1:14" x14ac:dyDescent="0.2">
      <c r="A604" s="1"/>
      <c r="B604" s="1" t="s">
        <v>2235</v>
      </c>
      <c r="C604" s="1"/>
      <c r="D604" s="54" t="s">
        <v>41</v>
      </c>
      <c r="E604" s="1"/>
      <c r="F604" s="54" t="s">
        <v>38</v>
      </c>
      <c r="G604" s="1"/>
      <c r="H604" s="7" t="s">
        <v>995</v>
      </c>
      <c r="I604" s="1"/>
      <c r="J604" s="5" t="e">
        <f>SEARCH("kwaliteit",H604)</f>
        <v>#VALUE!</v>
      </c>
      <c r="K604" s="1"/>
      <c r="L604" s="3"/>
      <c r="M604" s="3"/>
      <c r="N604" s="1"/>
    </row>
    <row r="605" spans="1:14" x14ac:dyDescent="0.2">
      <c r="A605" s="1"/>
      <c r="B605" s="1" t="s">
        <v>49</v>
      </c>
      <c r="C605" s="1"/>
      <c r="D605" s="55" t="s">
        <v>42</v>
      </c>
      <c r="E605" s="1"/>
      <c r="F605" s="55" t="s">
        <v>39</v>
      </c>
      <c r="G605" s="1"/>
      <c r="H605" s="1"/>
      <c r="I605" s="1"/>
      <c r="J605" s="5">
        <f>ABS(ISERR(J604))</f>
        <v>1</v>
      </c>
      <c r="K605" s="5">
        <f>ABS(IF(J605=0,"1","0"))</f>
        <v>0</v>
      </c>
      <c r="L605" s="3" t="s">
        <v>995</v>
      </c>
      <c r="M605" s="3"/>
      <c r="N605" s="1"/>
    </row>
    <row r="606" spans="1:14" x14ac:dyDescent="0.2">
      <c r="A606" s="1"/>
      <c r="B606" s="81" t="s">
        <v>2236</v>
      </c>
      <c r="C606" s="1"/>
      <c r="D606" s="28" t="s">
        <v>43</v>
      </c>
      <c r="E606" s="1"/>
      <c r="F606" s="28" t="s">
        <v>40</v>
      </c>
      <c r="G606" s="1"/>
      <c r="H606" s="54" t="s">
        <v>34</v>
      </c>
      <c r="I606" s="1"/>
      <c r="J606" s="1"/>
      <c r="K606" s="1"/>
      <c r="L606" s="3"/>
      <c r="M606" s="3"/>
      <c r="N606" s="1"/>
    </row>
    <row r="607" spans="1:14" x14ac:dyDescent="0.2">
      <c r="A607" s="1"/>
      <c r="B607" s="81" t="s">
        <v>895</v>
      </c>
      <c r="C607" s="1"/>
      <c r="D607" s="1"/>
      <c r="E607" s="1"/>
      <c r="F607" s="1"/>
      <c r="G607" s="1"/>
      <c r="H607" s="55" t="s">
        <v>35</v>
      </c>
      <c r="I607" s="1"/>
      <c r="J607" s="5" t="e">
        <f>SEARCH("loyaliteit",H604)</f>
        <v>#VALUE!</v>
      </c>
      <c r="K607" s="1"/>
      <c r="L607" s="3"/>
      <c r="M607" s="3"/>
      <c r="N607" s="1"/>
    </row>
    <row r="608" spans="1:14" x14ac:dyDescent="0.2">
      <c r="A608" s="1"/>
      <c r="B608" s="594" t="s">
        <v>2775</v>
      </c>
      <c r="C608" s="1"/>
      <c r="D608" s="1"/>
      <c r="E608" s="1"/>
      <c r="F608" s="1"/>
      <c r="G608" s="1"/>
      <c r="H608" s="55" t="s">
        <v>36</v>
      </c>
      <c r="I608" s="1"/>
      <c r="J608" s="5">
        <f>ABS(ISERR(J607))</f>
        <v>1</v>
      </c>
      <c r="K608" s="5">
        <f>ABS(IF(J608=0,"1","0"))</f>
        <v>0</v>
      </c>
      <c r="L608" s="3"/>
      <c r="M608" s="3"/>
      <c r="N608" s="1"/>
    </row>
    <row r="609" spans="1:14" x14ac:dyDescent="0.2">
      <c r="A609" s="1"/>
      <c r="B609" s="1"/>
      <c r="C609" s="1"/>
      <c r="D609" s="1"/>
      <c r="E609" s="1"/>
      <c r="F609" s="1"/>
      <c r="G609" s="1"/>
      <c r="H609" s="28" t="s">
        <v>37</v>
      </c>
      <c r="I609" s="1"/>
      <c r="J609" s="1"/>
      <c r="K609" s="1"/>
      <c r="L609" s="3"/>
      <c r="M609" s="3"/>
      <c r="N609" s="1"/>
    </row>
    <row r="610" spans="1:14" x14ac:dyDescent="0.2">
      <c r="A610" s="1"/>
      <c r="B610" s="82" t="s">
        <v>1033</v>
      </c>
      <c r="C610" s="10" t="s">
        <v>995</v>
      </c>
      <c r="D610" s="1"/>
      <c r="E610" s="1"/>
      <c r="F610" s="1"/>
      <c r="G610" s="1"/>
      <c r="H610" s="1"/>
      <c r="I610" s="1"/>
      <c r="J610" s="1"/>
      <c r="K610" s="1"/>
      <c r="L610" s="3"/>
      <c r="M610" s="3"/>
      <c r="N610" s="1"/>
    </row>
    <row r="611" spans="1:14" x14ac:dyDescent="0.2">
      <c r="A611" s="1"/>
      <c r="B611" s="52" t="str">
        <f>J611</f>
        <v/>
      </c>
      <c r="C611" s="1"/>
      <c r="D611" s="1"/>
      <c r="E611" s="1"/>
      <c r="F611" s="1"/>
      <c r="G611" s="1"/>
      <c r="H611" s="1"/>
      <c r="I611" s="1"/>
      <c r="J611" s="73" t="str">
        <f>IF(C610="x","VB: hogere motivatie, kwaliteit, hogere loyaliteit etc","")</f>
        <v/>
      </c>
      <c r="K611" s="1"/>
      <c r="L611" s="3"/>
      <c r="M611" s="3"/>
      <c r="N611" s="1"/>
    </row>
    <row r="612" spans="1:14" x14ac:dyDescent="0.2">
      <c r="A612" s="1"/>
      <c r="B612" s="119" t="str">
        <f>J612</f>
        <v/>
      </c>
      <c r="C612" s="1"/>
      <c r="D612" s="1"/>
      <c r="E612" s="1"/>
      <c r="F612" s="1"/>
      <c r="G612" s="1"/>
      <c r="H612" s="1"/>
      <c r="I612" s="1"/>
      <c r="J612" s="73" t="str">
        <f>IF(C610="x","(Er zijn meer antwoorden, maar slechts deze 3 worden goedgekeurd.)","")</f>
        <v/>
      </c>
      <c r="K612" s="1"/>
      <c r="L612" s="3"/>
      <c r="M612" s="3"/>
      <c r="N612" s="1"/>
    </row>
    <row r="613" spans="1:14" x14ac:dyDescent="0.2">
      <c r="A613" s="14"/>
      <c r="B613" s="14"/>
      <c r="C613" s="14"/>
      <c r="D613" s="180"/>
      <c r="E613" s="14"/>
      <c r="F613" s="14"/>
      <c r="G613" s="14"/>
      <c r="H613" s="14"/>
      <c r="I613" s="14"/>
      <c r="J613" s="1"/>
      <c r="K613" s="1"/>
      <c r="L613" s="3"/>
      <c r="M613" s="3"/>
      <c r="N613" s="1"/>
    </row>
    <row r="614" spans="1:14" x14ac:dyDescent="0.2">
      <c r="A614" s="1"/>
      <c r="B614" s="1"/>
      <c r="C614" s="1"/>
      <c r="D614" s="1"/>
      <c r="E614" s="1"/>
      <c r="F614" s="1"/>
      <c r="G614" s="1"/>
      <c r="H614" s="1"/>
      <c r="I614" s="1"/>
      <c r="J614" s="1"/>
      <c r="K614" s="1"/>
      <c r="L614" s="3"/>
      <c r="M614" s="3"/>
      <c r="N614" s="1"/>
    </row>
    <row r="615" spans="1:14" x14ac:dyDescent="0.2">
      <c r="A615" s="67" t="s">
        <v>57</v>
      </c>
      <c r="B615" s="1" t="s">
        <v>52</v>
      </c>
      <c r="C615" s="1"/>
      <c r="D615" s="1"/>
      <c r="E615" s="1"/>
      <c r="F615" s="1"/>
      <c r="G615" s="1"/>
      <c r="H615" s="1"/>
      <c r="I615" s="1"/>
      <c r="J615" s="1"/>
      <c r="K615" s="1"/>
      <c r="L615" s="3"/>
      <c r="M615" s="3"/>
      <c r="N615" s="1"/>
    </row>
    <row r="616" spans="1:14" x14ac:dyDescent="0.2">
      <c r="A616" s="1"/>
      <c r="B616" s="80" t="s">
        <v>1037</v>
      </c>
      <c r="C616" s="1"/>
      <c r="D616" s="1"/>
      <c r="E616" s="1"/>
      <c r="F616" s="1"/>
      <c r="G616" s="1"/>
      <c r="H616" s="1"/>
      <c r="I616" s="1"/>
      <c r="J616" s="1"/>
      <c r="K616" s="1"/>
      <c r="L616" s="3"/>
      <c r="M616" s="3"/>
      <c r="N616" s="1"/>
    </row>
    <row r="617" spans="1:14" x14ac:dyDescent="0.2">
      <c r="A617" s="1"/>
      <c r="B617" s="81" t="s">
        <v>895</v>
      </c>
      <c r="C617" s="1"/>
      <c r="D617" s="1"/>
      <c r="E617" s="1"/>
      <c r="F617" s="1"/>
      <c r="G617" s="1"/>
      <c r="H617" s="1"/>
      <c r="I617" s="1"/>
      <c r="J617" s="1"/>
      <c r="K617" s="1"/>
      <c r="L617" s="3"/>
      <c r="M617" s="3"/>
      <c r="N617" s="1"/>
    </row>
    <row r="618" spans="1:14" x14ac:dyDescent="0.2">
      <c r="A618" s="1"/>
      <c r="B618" s="1"/>
      <c r="C618" s="1"/>
      <c r="D618" s="1"/>
      <c r="E618" s="1"/>
      <c r="F618" s="1"/>
      <c r="G618" s="1"/>
      <c r="H618" s="1"/>
      <c r="I618" s="1"/>
      <c r="J618" s="1"/>
      <c r="K618" s="1"/>
      <c r="L618" s="3"/>
      <c r="M618" s="3"/>
      <c r="N618" s="1"/>
    </row>
    <row r="619" spans="1:14" ht="38.25" x14ac:dyDescent="0.2">
      <c r="A619" s="26" t="s">
        <v>999</v>
      </c>
      <c r="B619" s="22" t="s">
        <v>51</v>
      </c>
      <c r="C619" s="24" t="s">
        <v>995</v>
      </c>
      <c r="D619" s="220"/>
      <c r="E619" s="1"/>
      <c r="F619" s="1"/>
      <c r="G619" s="1"/>
      <c r="H619" s="1"/>
      <c r="I619" s="1"/>
      <c r="J619" s="5" t="str">
        <f>IF(C619="x","JUIST","")</f>
        <v/>
      </c>
      <c r="K619" s="5">
        <f>ABS(IF(J619="JUIST","1","0"))</f>
        <v>0</v>
      </c>
      <c r="L619" s="3">
        <v>1</v>
      </c>
      <c r="M619" s="3"/>
      <c r="N619" s="1"/>
    </row>
    <row r="620" spans="1:14" ht="25.5" x14ac:dyDescent="0.2">
      <c r="A620" s="26" t="s">
        <v>1000</v>
      </c>
      <c r="B620" s="22" t="s">
        <v>2237</v>
      </c>
      <c r="C620" s="24" t="s">
        <v>995</v>
      </c>
      <c r="D620" s="221"/>
      <c r="E620" s="221"/>
      <c r="F620" s="221"/>
      <c r="G620" s="221"/>
      <c r="H620" s="1"/>
      <c r="I620" s="1"/>
      <c r="J620" s="5" t="str">
        <f>IF(C620="x","FOUT","")</f>
        <v/>
      </c>
      <c r="K620" s="5">
        <f>ABS(IF(J620="JUIST","1","0"))</f>
        <v>0</v>
      </c>
      <c r="L620" s="3"/>
      <c r="M620" s="3"/>
      <c r="N620" s="1"/>
    </row>
    <row r="621" spans="1:14" x14ac:dyDescent="0.2">
      <c r="A621" s="26" t="s">
        <v>1001</v>
      </c>
      <c r="B621" s="22" t="s">
        <v>53</v>
      </c>
      <c r="C621" s="24" t="s">
        <v>995</v>
      </c>
      <c r="D621" s="221"/>
      <c r="E621" s="221"/>
      <c r="F621" s="221"/>
      <c r="G621" s="221"/>
      <c r="H621" s="1"/>
      <c r="I621" s="1"/>
      <c r="J621" s="5" t="str">
        <f>IF(C621="x","FOUT","")</f>
        <v/>
      </c>
      <c r="K621" s="5">
        <f>ABS(IF(J621="JUIST","1","0"))</f>
        <v>0</v>
      </c>
      <c r="L621" s="3"/>
      <c r="M621" s="3"/>
      <c r="N621" s="1"/>
    </row>
    <row r="622" spans="1:14" ht="38.25" x14ac:dyDescent="0.2">
      <c r="A622" s="26" t="s">
        <v>1002</v>
      </c>
      <c r="B622" s="22" t="s">
        <v>54</v>
      </c>
      <c r="C622" s="24" t="s">
        <v>995</v>
      </c>
      <c r="D622" s="221"/>
      <c r="E622" s="221"/>
      <c r="F622" s="221"/>
      <c r="G622" s="221"/>
      <c r="H622" s="1"/>
      <c r="I622" s="1"/>
      <c r="J622" s="5" t="str">
        <f>IF(C622="x","FOUT","")</f>
        <v/>
      </c>
      <c r="K622" s="5">
        <f>ABS(IF(J622="JUIST","1","0"))</f>
        <v>0</v>
      </c>
      <c r="L622" s="3"/>
      <c r="M622" s="3"/>
      <c r="N622" s="1"/>
    </row>
    <row r="623" spans="1:14" x14ac:dyDescent="0.2">
      <c r="A623" s="1"/>
      <c r="B623" s="1"/>
      <c r="C623" s="1"/>
      <c r="D623" s="1"/>
      <c r="E623" s="1"/>
      <c r="F623" s="1"/>
      <c r="G623" s="1"/>
      <c r="H623" s="1"/>
      <c r="I623" s="1"/>
      <c r="J623" s="1"/>
      <c r="K623" s="1"/>
      <c r="L623" s="3"/>
      <c r="M623" s="3"/>
      <c r="N623" s="1"/>
    </row>
    <row r="624" spans="1:14" x14ac:dyDescent="0.2">
      <c r="A624" s="1"/>
      <c r="B624" s="82" t="s">
        <v>1033</v>
      </c>
      <c r="C624" s="318" t="s">
        <v>995</v>
      </c>
      <c r="D624" s="1"/>
      <c r="E624" s="1"/>
      <c r="F624" s="1"/>
      <c r="G624" s="1"/>
      <c r="H624" s="1"/>
      <c r="I624" s="1"/>
      <c r="J624" s="73" t="str">
        <f>IF(C624="x","Het juiste antwoord is: A.","")</f>
        <v/>
      </c>
      <c r="K624" s="1"/>
      <c r="L624" s="3"/>
      <c r="M624" s="3"/>
      <c r="N624" s="1"/>
    </row>
    <row r="625" spans="1:14" x14ac:dyDescent="0.2">
      <c r="A625" s="1"/>
      <c r="B625" s="52" t="str">
        <f>IF(C624="x",J624,"")</f>
        <v/>
      </c>
      <c r="C625" s="1"/>
      <c r="D625" s="1"/>
      <c r="E625" s="1"/>
      <c r="F625" s="1"/>
      <c r="G625" s="1"/>
      <c r="H625" s="1"/>
      <c r="I625" s="1"/>
      <c r="J625" s="120" t="s">
        <v>995</v>
      </c>
      <c r="K625" s="1"/>
      <c r="L625" s="3"/>
      <c r="M625" s="3"/>
      <c r="N625" s="1"/>
    </row>
    <row r="626" spans="1:14" x14ac:dyDescent="0.2">
      <c r="A626" s="14"/>
      <c r="B626" s="14"/>
      <c r="C626" s="14"/>
      <c r="D626" s="180"/>
      <c r="E626" s="14"/>
      <c r="F626" s="14"/>
      <c r="G626" s="14"/>
      <c r="H626" s="14"/>
      <c r="I626" s="14"/>
      <c r="J626" s="1"/>
      <c r="K626" s="1"/>
      <c r="L626" s="3"/>
      <c r="M626" s="3"/>
      <c r="N626" s="1"/>
    </row>
    <row r="627" spans="1:14" x14ac:dyDescent="0.2">
      <c r="A627" s="1"/>
      <c r="B627" s="1"/>
      <c r="C627" s="1"/>
      <c r="D627" s="1"/>
      <c r="E627" s="1"/>
      <c r="F627" s="1"/>
      <c r="G627" s="1"/>
      <c r="H627" s="1"/>
      <c r="I627" s="1"/>
      <c r="J627" s="1"/>
      <c r="K627" s="1"/>
      <c r="L627" s="3"/>
      <c r="M627" s="3"/>
      <c r="N627" s="1"/>
    </row>
    <row r="628" spans="1:14" ht="26.25" thickBot="1" x14ac:dyDescent="0.25">
      <c r="A628" s="67" t="s">
        <v>1873</v>
      </c>
      <c r="B628" s="103" t="s">
        <v>2692</v>
      </c>
      <c r="C628" s="102" t="s">
        <v>446</v>
      </c>
      <c r="D628" s="102" t="s">
        <v>1623</v>
      </c>
      <c r="E628" s="526" t="s">
        <v>2119</v>
      </c>
      <c r="F628" s="527" t="s">
        <v>2120</v>
      </c>
      <c r="G628" s="1"/>
      <c r="H628" s="1"/>
      <c r="I628" s="1"/>
      <c r="J628" s="1"/>
      <c r="K628" s="1"/>
      <c r="L628" s="3"/>
      <c r="M628" s="3"/>
      <c r="N628" s="1"/>
    </row>
    <row r="629" spans="1:14" ht="26.25" thickTop="1" x14ac:dyDescent="0.2">
      <c r="A629" s="1"/>
      <c r="B629" s="200" t="s">
        <v>2693</v>
      </c>
      <c r="C629" s="56" t="s">
        <v>995</v>
      </c>
      <c r="D629" s="56" t="s">
        <v>995</v>
      </c>
      <c r="E629" s="56" t="s">
        <v>995</v>
      </c>
      <c r="F629" s="56" t="s">
        <v>995</v>
      </c>
      <c r="G629" s="1"/>
      <c r="H629" s="1"/>
      <c r="I629" s="1"/>
      <c r="J629" s="1"/>
      <c r="K629" s="1"/>
      <c r="M629" s="3"/>
      <c r="N629" s="1"/>
    </row>
    <row r="630" spans="1:14" x14ac:dyDescent="0.2">
      <c r="A630" s="1"/>
      <c r="B630" s="61" t="s">
        <v>2238</v>
      </c>
      <c r="C630" s="3" t="s">
        <v>475</v>
      </c>
      <c r="D630" s="3" t="s">
        <v>476</v>
      </c>
      <c r="E630" s="3" t="s">
        <v>477</v>
      </c>
      <c r="F630" s="3" t="s">
        <v>478</v>
      </c>
      <c r="G630" s="1"/>
      <c r="H630" s="1"/>
      <c r="I630" s="1"/>
      <c r="J630" s="5" t="str">
        <f>IF(C629="x","FOUT","")</f>
        <v/>
      </c>
      <c r="K630" s="5">
        <f>ABS(IF(J630="JUIST","1","0"))</f>
        <v>0</v>
      </c>
      <c r="L630" s="3" t="s">
        <v>995</v>
      </c>
      <c r="M630" s="3"/>
      <c r="N630" s="1"/>
    </row>
    <row r="631" spans="1:14" x14ac:dyDescent="0.2">
      <c r="A631" s="1"/>
      <c r="B631" s="1" t="s">
        <v>56</v>
      </c>
      <c r="C631" s="1"/>
      <c r="D631" s="1"/>
      <c r="E631" s="1"/>
      <c r="F631" s="1"/>
      <c r="G631" s="1"/>
      <c r="H631" s="1"/>
      <c r="I631" s="1"/>
      <c r="J631" s="5" t="str">
        <f>IF(D629="x","JUIST","")</f>
        <v/>
      </c>
      <c r="K631" s="5">
        <f>ABS(IF(J631="JUIST","1","0"))</f>
        <v>0</v>
      </c>
      <c r="L631" s="3">
        <v>1</v>
      </c>
      <c r="M631" s="3"/>
      <c r="N631" s="1"/>
    </row>
    <row r="632" spans="1:14" x14ac:dyDescent="0.2">
      <c r="A632" s="1"/>
      <c r="B632" s="67" t="s">
        <v>2746</v>
      </c>
      <c r="C632" s="1"/>
      <c r="D632" s="1"/>
      <c r="E632" s="1"/>
      <c r="F632" s="1"/>
      <c r="G632" s="1"/>
      <c r="H632" s="1"/>
      <c r="I632" s="1"/>
      <c r="J632" s="5" t="str">
        <f>IF(E629="x","FOUT","")</f>
        <v/>
      </c>
      <c r="K632" s="5">
        <f>ABS(IF(J632="JUIST","1","0"))</f>
        <v>0</v>
      </c>
      <c r="L632" s="3" t="s">
        <v>995</v>
      </c>
      <c r="M632" s="3"/>
      <c r="N632" s="1"/>
    </row>
    <row r="633" spans="1:14" x14ac:dyDescent="0.2">
      <c r="A633" s="1"/>
      <c r="B633" s="80" t="s">
        <v>333</v>
      </c>
      <c r="C633" s="1"/>
      <c r="D633" s="1"/>
      <c r="E633" s="1"/>
      <c r="F633" s="1"/>
      <c r="G633" s="1"/>
      <c r="H633" s="1"/>
      <c r="I633" s="1"/>
      <c r="J633" s="5" t="str">
        <f>IF(F629="x","FOUT","")</f>
        <v/>
      </c>
      <c r="K633" s="5">
        <f>ABS(IF(J633="JUIST","1","0"))</f>
        <v>0</v>
      </c>
      <c r="L633" s="3" t="s">
        <v>995</v>
      </c>
      <c r="M633" s="3"/>
      <c r="N633" s="1"/>
    </row>
    <row r="634" spans="1:14" x14ac:dyDescent="0.2">
      <c r="A634" s="1"/>
      <c r="B634" s="81" t="s">
        <v>895</v>
      </c>
      <c r="C634" s="1"/>
      <c r="D634" s="1"/>
      <c r="E634" s="1"/>
      <c r="F634" s="1"/>
      <c r="G634" s="1"/>
      <c r="H634" s="1"/>
      <c r="I634" s="1"/>
      <c r="J634" s="79" t="s">
        <v>995</v>
      </c>
      <c r="K634" s="1"/>
      <c r="L634" s="3"/>
      <c r="M634" s="3"/>
      <c r="N634" s="1"/>
    </row>
    <row r="635" spans="1:14" x14ac:dyDescent="0.2">
      <c r="A635" s="1"/>
      <c r="B635" s="1"/>
      <c r="C635" s="1"/>
      <c r="D635" s="1"/>
      <c r="E635" s="1"/>
      <c r="F635" s="1"/>
      <c r="G635" s="1"/>
      <c r="H635" s="1"/>
      <c r="I635" s="1"/>
      <c r="K635" s="1"/>
      <c r="L635" s="3"/>
      <c r="M635" s="3"/>
      <c r="N635" s="1"/>
    </row>
    <row r="636" spans="1:14" x14ac:dyDescent="0.2">
      <c r="A636" s="1"/>
      <c r="B636" s="82" t="s">
        <v>1033</v>
      </c>
      <c r="C636" s="318" t="s">
        <v>995</v>
      </c>
      <c r="D636" s="1"/>
      <c r="E636" s="1"/>
      <c r="F636" s="1"/>
      <c r="G636" s="1"/>
      <c r="H636" s="1"/>
      <c r="I636" s="1"/>
      <c r="J636" s="1"/>
      <c r="K636" s="1"/>
      <c r="L636" s="3"/>
      <c r="M636" s="3"/>
      <c r="N636" s="1"/>
    </row>
    <row r="637" spans="1:14" x14ac:dyDescent="0.2">
      <c r="A637" s="1"/>
      <c r="B637" s="52" t="str">
        <f>J637</f>
        <v/>
      </c>
      <c r="C637" s="1"/>
      <c r="D637" s="1"/>
      <c r="E637" s="1"/>
      <c r="F637" s="1"/>
      <c r="G637" s="1"/>
      <c r="H637" s="1"/>
      <c r="I637" s="1"/>
      <c r="J637" s="73" t="str">
        <f>IF(C636="x","Juiste antwoord: B (ad stelling 1: verdient zich meer dan dubbel terug!)","")</f>
        <v/>
      </c>
      <c r="K637" s="1"/>
      <c r="L637" s="3"/>
      <c r="M637" s="3"/>
      <c r="N637" s="1"/>
    </row>
    <row r="638" spans="1:14" x14ac:dyDescent="0.2">
      <c r="A638" s="14"/>
      <c r="B638" s="14"/>
      <c r="C638" s="14"/>
      <c r="D638" s="180"/>
      <c r="E638" s="14"/>
      <c r="F638" s="14"/>
      <c r="G638" s="14"/>
      <c r="H638" s="14"/>
      <c r="I638" s="14"/>
      <c r="J638" s="1"/>
      <c r="K638" s="1"/>
      <c r="L638" s="3"/>
      <c r="M638" s="3"/>
      <c r="N638" s="1"/>
    </row>
    <row r="639" spans="1:14" x14ac:dyDescent="0.2">
      <c r="A639" s="1"/>
      <c r="B639" s="1"/>
      <c r="C639" s="1"/>
      <c r="D639" s="1"/>
      <c r="E639" s="1"/>
      <c r="F639" s="1"/>
      <c r="G639" s="1"/>
      <c r="H639" s="1"/>
      <c r="I639" s="1"/>
      <c r="J639" s="1"/>
      <c r="K639" s="1"/>
      <c r="L639" s="3"/>
      <c r="M639" s="3"/>
      <c r="N639" s="1"/>
    </row>
    <row r="640" spans="1:14" ht="39" thickBot="1" x14ac:dyDescent="0.25">
      <c r="A640" s="67" t="s">
        <v>1881</v>
      </c>
      <c r="B640" s="103" t="s">
        <v>2694</v>
      </c>
      <c r="C640" s="102" t="s">
        <v>446</v>
      </c>
      <c r="D640" s="102" t="s">
        <v>1623</v>
      </c>
      <c r="E640" s="526" t="s">
        <v>2119</v>
      </c>
      <c r="F640" s="527" t="s">
        <v>2120</v>
      </c>
      <c r="G640" s="1"/>
      <c r="H640" s="1"/>
      <c r="I640" s="1"/>
      <c r="J640" s="1"/>
      <c r="K640" s="1"/>
      <c r="L640" s="3"/>
      <c r="M640" s="3"/>
      <c r="N640" s="1"/>
    </row>
    <row r="641" spans="1:14" ht="13.5" thickTop="1" x14ac:dyDescent="0.2">
      <c r="A641" s="1"/>
      <c r="B641" s="200" t="s">
        <v>2695</v>
      </c>
      <c r="C641" s="425" t="s">
        <v>995</v>
      </c>
      <c r="D641" s="425" t="s">
        <v>995</v>
      </c>
      <c r="E641" s="425" t="s">
        <v>995</v>
      </c>
      <c r="F641" s="425" t="s">
        <v>995</v>
      </c>
      <c r="G641" s="1"/>
      <c r="H641" s="1"/>
      <c r="I641" s="1"/>
      <c r="J641" s="1"/>
      <c r="K641" s="1"/>
      <c r="L641" s="3"/>
      <c r="M641" s="3"/>
      <c r="N641" s="1"/>
    </row>
    <row r="642" spans="1:14" x14ac:dyDescent="0.2">
      <c r="A642" s="1"/>
      <c r="B642" s="61" t="s">
        <v>2239</v>
      </c>
      <c r="C642" s="3" t="s">
        <v>475</v>
      </c>
      <c r="D642" s="3" t="s">
        <v>476</v>
      </c>
      <c r="E642" s="3" t="s">
        <v>477</v>
      </c>
      <c r="F642" s="3" t="s">
        <v>478</v>
      </c>
      <c r="G642" s="1"/>
      <c r="H642" s="1"/>
      <c r="I642" s="1"/>
      <c r="J642" s="5" t="str">
        <f>IF(C641="x","JUIST","")</f>
        <v/>
      </c>
      <c r="K642" s="5">
        <f>ABS(IF(J642="JUIST","1","0"))</f>
        <v>0</v>
      </c>
      <c r="L642" s="3">
        <v>1</v>
      </c>
      <c r="M642" s="3"/>
      <c r="N642" s="1"/>
    </row>
    <row r="643" spans="1:14" x14ac:dyDescent="0.2">
      <c r="A643" s="1"/>
      <c r="B643" s="1" t="s">
        <v>58</v>
      </c>
      <c r="C643" s="1"/>
      <c r="D643" s="1"/>
      <c r="E643" s="1"/>
      <c r="F643" s="1"/>
      <c r="G643" s="1"/>
      <c r="H643" s="1"/>
      <c r="I643" s="1"/>
      <c r="J643" s="5" t="str">
        <f>IF(D641="x","FOUT","")</f>
        <v/>
      </c>
      <c r="K643" s="5">
        <f>ABS(IF(J643="JUIST","1","0"))</f>
        <v>0</v>
      </c>
      <c r="L643" s="3"/>
      <c r="M643" s="3"/>
      <c r="N643" s="1"/>
    </row>
    <row r="644" spans="1:14" x14ac:dyDescent="0.2">
      <c r="A644" s="1"/>
      <c r="B644" s="1" t="s">
        <v>59</v>
      </c>
      <c r="C644" s="1"/>
      <c r="D644" s="1"/>
      <c r="E644" s="1"/>
      <c r="F644" s="1"/>
      <c r="G644" s="1"/>
      <c r="H644" s="1"/>
      <c r="I644" s="1"/>
      <c r="J644" s="5" t="str">
        <f>IF(E641="x","FOUT","")</f>
        <v/>
      </c>
      <c r="K644" s="5">
        <f>ABS(IF(J644="JUIST","1","0"))</f>
        <v>0</v>
      </c>
      <c r="L644" s="3"/>
      <c r="M644" s="3"/>
      <c r="N644" s="1"/>
    </row>
    <row r="645" spans="1:14" x14ac:dyDescent="0.2">
      <c r="A645" s="1"/>
      <c r="B645" s="1" t="s">
        <v>2240</v>
      </c>
      <c r="C645" s="1"/>
      <c r="D645" s="1"/>
      <c r="E645" s="1"/>
      <c r="F645" s="1"/>
      <c r="G645" s="1"/>
      <c r="H645" s="1"/>
      <c r="I645" s="1"/>
      <c r="J645" s="5" t="str">
        <f>IF(F641="x","FOUT","")</f>
        <v/>
      </c>
      <c r="K645" s="5">
        <f>ABS(IF(J645="JUIST","1","0"))</f>
        <v>0</v>
      </c>
      <c r="L645" s="3"/>
      <c r="M645" s="3"/>
      <c r="N645" s="1"/>
    </row>
    <row r="646" spans="1:14" x14ac:dyDescent="0.2">
      <c r="A646" s="1"/>
      <c r="B646" s="18" t="s">
        <v>2625</v>
      </c>
      <c r="C646" s="1"/>
      <c r="D646" s="1"/>
      <c r="E646" s="1"/>
      <c r="F646" s="1"/>
      <c r="G646" s="1"/>
      <c r="H646" s="1"/>
      <c r="I646" s="1"/>
      <c r="J646" s="79" t="s">
        <v>995</v>
      </c>
      <c r="K646" s="1"/>
      <c r="L646" s="3"/>
      <c r="M646" s="3"/>
      <c r="N646" s="1"/>
    </row>
    <row r="647" spans="1:14" x14ac:dyDescent="0.2">
      <c r="A647" s="1"/>
      <c r="B647" s="80" t="s">
        <v>333</v>
      </c>
      <c r="C647" s="1"/>
      <c r="D647" s="1"/>
      <c r="E647" s="1"/>
      <c r="F647" s="1"/>
      <c r="G647" s="1"/>
      <c r="H647" s="1"/>
      <c r="I647" s="1"/>
      <c r="J647" s="79"/>
      <c r="K647" s="1"/>
      <c r="L647" s="3"/>
      <c r="M647" s="3"/>
      <c r="N647" s="1"/>
    </row>
    <row r="648" spans="1:14" x14ac:dyDescent="0.2">
      <c r="A648" s="1"/>
      <c r="B648" s="81" t="s">
        <v>895</v>
      </c>
      <c r="C648" s="1"/>
      <c r="D648" s="1"/>
      <c r="E648" s="1"/>
      <c r="F648" s="1"/>
      <c r="G648" s="1"/>
      <c r="H648" s="1"/>
      <c r="I648" s="1"/>
      <c r="J648" s="79"/>
      <c r="K648" s="1"/>
      <c r="L648" s="3"/>
      <c r="M648" s="3"/>
      <c r="N648" s="1"/>
    </row>
    <row r="649" spans="1:14" x14ac:dyDescent="0.2">
      <c r="A649" s="1"/>
      <c r="B649" s="1"/>
      <c r="C649" s="1"/>
      <c r="D649" s="1"/>
      <c r="E649" s="1"/>
      <c r="F649" s="1"/>
      <c r="G649" s="1"/>
      <c r="H649" s="1"/>
      <c r="I649" s="1"/>
      <c r="K649" s="1"/>
      <c r="L649" s="3"/>
      <c r="M649" s="3"/>
      <c r="N649" s="1"/>
    </row>
    <row r="650" spans="1:14" x14ac:dyDescent="0.2">
      <c r="A650" s="1"/>
      <c r="B650" s="82" t="s">
        <v>1033</v>
      </c>
      <c r="C650" s="318" t="s">
        <v>995</v>
      </c>
      <c r="D650" s="1"/>
      <c r="E650" s="1"/>
      <c r="F650" s="235" t="s">
        <v>1225</v>
      </c>
      <c r="G650" s="1"/>
      <c r="H650" s="1"/>
      <c r="I650" s="1"/>
      <c r="J650" s="1"/>
      <c r="K650" s="1"/>
      <c r="L650" s="3"/>
      <c r="M650" s="3"/>
      <c r="N650" s="1"/>
    </row>
    <row r="651" spans="1:14" x14ac:dyDescent="0.2">
      <c r="A651" s="1"/>
      <c r="B651" s="52" t="str">
        <f>J651</f>
        <v/>
      </c>
      <c r="C651" s="1"/>
      <c r="D651" s="1"/>
      <c r="E651" s="1"/>
      <c r="F651" s="1"/>
      <c r="G651" s="1"/>
      <c r="H651" s="1"/>
      <c r="I651" s="1"/>
      <c r="J651" s="73" t="str">
        <f>IF(C650="x","Juiste antwoord: A (ad stelling 2: het BEP is zo'n 3 jaar!!!!)","")</f>
        <v/>
      </c>
      <c r="K651" s="1"/>
      <c r="L651" s="3"/>
      <c r="M651" s="3"/>
      <c r="N651" s="1"/>
    </row>
    <row r="652" spans="1:14" x14ac:dyDescent="0.2">
      <c r="A652" s="14"/>
      <c r="B652" s="14"/>
      <c r="C652" s="14"/>
      <c r="D652" s="180"/>
      <c r="E652" s="14"/>
      <c r="F652" s="14"/>
      <c r="G652" s="14"/>
      <c r="H652" s="14"/>
      <c r="I652" s="14"/>
      <c r="J652" s="1"/>
      <c r="K652" s="1"/>
      <c r="L652" s="3"/>
      <c r="M652" s="3"/>
      <c r="N652" s="1"/>
    </row>
    <row r="653" spans="1:14" ht="13.5" thickBot="1" x14ac:dyDescent="0.25">
      <c r="A653" s="1"/>
      <c r="B653" s="1"/>
      <c r="C653" s="1"/>
      <c r="D653" s="1"/>
      <c r="E653" s="1"/>
      <c r="F653" s="1"/>
      <c r="G653" s="1"/>
      <c r="H653" s="1"/>
      <c r="I653" s="1"/>
      <c r="J653" s="1"/>
      <c r="K653" s="1"/>
      <c r="L653" s="12" t="s">
        <v>256</v>
      </c>
      <c r="M653" s="79"/>
      <c r="N653" s="1"/>
    </row>
    <row r="654" spans="1:14" ht="14.25" thickTop="1" thickBot="1" x14ac:dyDescent="0.25">
      <c r="A654" s="1"/>
      <c r="B654" s="6" t="s">
        <v>265</v>
      </c>
      <c r="C654" s="73">
        <f>L654</f>
        <v>86.5</v>
      </c>
      <c r="D654" s="1"/>
      <c r="E654" s="1"/>
      <c r="F654" s="1"/>
      <c r="G654" s="1"/>
      <c r="H654" s="1"/>
      <c r="I654" s="1"/>
      <c r="J654" s="16" t="s">
        <v>343</v>
      </c>
      <c r="K654" s="69">
        <f>SUM(K4:K651)</f>
        <v>0</v>
      </c>
      <c r="L654" s="70">
        <f>SUM(L4:L651)</f>
        <v>86.5</v>
      </c>
      <c r="M654" s="79"/>
      <c r="N654" s="1"/>
    </row>
    <row r="655" spans="1:14" ht="13.5" thickTop="1" x14ac:dyDescent="0.2">
      <c r="A655" s="1"/>
      <c r="B655" s="73" t="s">
        <v>2089</v>
      </c>
      <c r="C655" s="73">
        <f>L654/100</f>
        <v>0.86499999999999999</v>
      </c>
      <c r="D655" s="1"/>
      <c r="E655" s="1"/>
      <c r="F655" s="1"/>
      <c r="G655" s="1"/>
      <c r="H655" s="1"/>
      <c r="I655" s="1"/>
      <c r="J655" s="16" t="s">
        <v>344</v>
      </c>
      <c r="K655" s="71">
        <f>L654</f>
        <v>86.5</v>
      </c>
      <c r="L655" s="3"/>
      <c r="M655" s="3"/>
      <c r="N655" s="1"/>
    </row>
    <row r="656" spans="1:14" ht="13.5" thickBot="1" x14ac:dyDescent="0.25">
      <c r="A656" s="1"/>
      <c r="B656" s="54" t="s">
        <v>2137</v>
      </c>
      <c r="C656" s="74">
        <f>K654/C655</f>
        <v>0</v>
      </c>
      <c r="D656" s="1"/>
      <c r="E656" s="1"/>
      <c r="F656" s="1"/>
      <c r="G656" s="1"/>
      <c r="H656" s="1"/>
      <c r="I656" s="1"/>
      <c r="J656" s="1" t="s">
        <v>257</v>
      </c>
      <c r="K656" s="1">
        <f>(100/K655)</f>
        <v>1.1560693641618498</v>
      </c>
      <c r="L656" s="3"/>
      <c r="M656" s="3"/>
      <c r="N656" s="1"/>
    </row>
    <row r="657" spans="1:14" ht="19.5" thickTop="1" thickBot="1" x14ac:dyDescent="0.3">
      <c r="A657" s="1"/>
      <c r="B657" s="75" t="s">
        <v>266</v>
      </c>
      <c r="C657" s="78">
        <f>K657</f>
        <v>0</v>
      </c>
      <c r="D657" s="77" t="str">
        <f>J659</f>
        <v/>
      </c>
      <c r="E657" s="76" t="str">
        <f>IF(D657="Gefeliciteerd!",L659,"")</f>
        <v/>
      </c>
      <c r="F657" s="1"/>
      <c r="G657" s="1"/>
      <c r="H657" s="1"/>
      <c r="I657" s="1"/>
      <c r="J657" s="1" t="s">
        <v>345</v>
      </c>
      <c r="K657" s="72">
        <f>K654*K656/10</f>
        <v>0</v>
      </c>
      <c r="L657" s="3"/>
      <c r="M657" s="3"/>
      <c r="N657" s="1"/>
    </row>
    <row r="658" spans="1:14" ht="13.5" thickTop="1" x14ac:dyDescent="0.2">
      <c r="A658" s="1"/>
      <c r="B658" s="1"/>
      <c r="C658" s="291" t="s">
        <v>995</v>
      </c>
      <c r="D658" s="1"/>
      <c r="E658" s="1"/>
      <c r="F658" s="1"/>
      <c r="G658" s="1"/>
      <c r="H658" s="1"/>
      <c r="I658" s="1"/>
      <c r="J658" s="1"/>
      <c r="K658" s="1"/>
      <c r="L658" s="3"/>
      <c r="M658" s="3"/>
      <c r="N658" s="1"/>
    </row>
    <row r="659" spans="1:14" x14ac:dyDescent="0.2">
      <c r="A659" s="1"/>
      <c r="B659" s="1"/>
      <c r="C659" s="1"/>
      <c r="D659" s="1"/>
      <c r="E659" s="1"/>
      <c r="F659" s="1"/>
      <c r="G659" s="1"/>
      <c r="H659" s="1"/>
      <c r="I659" s="1"/>
      <c r="J659" s="6" t="str">
        <f>IF(C657&gt;5.5,L659,"")</f>
        <v/>
      </c>
      <c r="L659" s="3" t="s">
        <v>267</v>
      </c>
      <c r="M659" s="3"/>
      <c r="N659" s="1"/>
    </row>
    <row r="660" spans="1:14" x14ac:dyDescent="0.2">
      <c r="A660" s="1"/>
      <c r="B660" s="1"/>
      <c r="C660" s="1"/>
      <c r="D660" s="1"/>
      <c r="E660" s="1"/>
      <c r="F660" s="1"/>
      <c r="G660" s="1"/>
      <c r="H660" s="1"/>
      <c r="I660" s="1"/>
      <c r="J660" s="1"/>
      <c r="K660" s="1"/>
      <c r="L660" s="3"/>
      <c r="M660" s="3"/>
      <c r="N660" s="1"/>
    </row>
    <row r="661" spans="1:14" x14ac:dyDescent="0.2">
      <c r="A661" s="1"/>
      <c r="B661" s="1"/>
      <c r="C661" s="1"/>
      <c r="D661" s="1"/>
      <c r="E661" s="1"/>
      <c r="F661" s="1"/>
      <c r="G661" s="1"/>
      <c r="H661" s="1"/>
      <c r="I661" s="1"/>
      <c r="J661" s="1"/>
      <c r="K661" s="1"/>
      <c r="L661" s="3"/>
      <c r="M661" s="3"/>
      <c r="N661" s="1"/>
    </row>
    <row r="662" spans="1:14" x14ac:dyDescent="0.2">
      <c r="A662" s="1"/>
      <c r="B662" s="1"/>
      <c r="C662" s="1"/>
      <c r="D662" s="1"/>
      <c r="E662" s="1"/>
      <c r="F662" s="1"/>
      <c r="G662" s="1"/>
      <c r="H662" s="1"/>
      <c r="I662" s="1"/>
      <c r="J662" s="1"/>
      <c r="K662" s="1"/>
      <c r="L662" s="3"/>
      <c r="M662" s="3"/>
      <c r="N662" s="1"/>
    </row>
    <row r="663" spans="1:14" x14ac:dyDescent="0.2">
      <c r="A663" s="1"/>
      <c r="B663" s="1"/>
      <c r="C663" s="1"/>
      <c r="D663" s="1"/>
      <c r="E663" s="1"/>
      <c r="F663" s="1"/>
      <c r="G663" s="1"/>
      <c r="H663" s="1"/>
      <c r="I663" s="1"/>
      <c r="J663" s="1"/>
      <c r="K663" s="1"/>
      <c r="L663" s="3"/>
      <c r="M663" s="3"/>
      <c r="N663" s="1"/>
    </row>
    <row r="664" spans="1:14" x14ac:dyDescent="0.2">
      <c r="A664" s="1"/>
      <c r="B664" s="1"/>
      <c r="C664" s="1"/>
      <c r="D664" s="1"/>
      <c r="E664" s="1"/>
      <c r="F664" s="1"/>
      <c r="G664" s="1"/>
      <c r="H664" s="1"/>
      <c r="I664" s="1"/>
      <c r="J664" s="1"/>
      <c r="K664" s="1"/>
      <c r="L664" s="3"/>
      <c r="M664" s="3"/>
      <c r="N664" s="1"/>
    </row>
    <row r="665" spans="1:14" x14ac:dyDescent="0.2">
      <c r="A665" s="1"/>
      <c r="B665" s="1"/>
      <c r="C665" s="1"/>
      <c r="D665" s="1"/>
      <c r="E665" s="1"/>
      <c r="F665" s="1"/>
      <c r="G665" s="1"/>
      <c r="H665" s="1"/>
      <c r="I665" s="1"/>
      <c r="J665" s="1"/>
      <c r="K665" s="1"/>
      <c r="L665" s="3"/>
      <c r="M665" s="3"/>
      <c r="N665" s="1"/>
    </row>
    <row r="666" spans="1:14" x14ac:dyDescent="0.2">
      <c r="A666" s="1"/>
      <c r="B666" s="1"/>
      <c r="C666" s="1"/>
      <c r="D666" s="1"/>
      <c r="E666" s="1"/>
      <c r="F666" s="1"/>
      <c r="G666" s="1"/>
      <c r="H666" s="1"/>
      <c r="I666" s="1"/>
      <c r="J666" s="1"/>
      <c r="K666" s="1"/>
      <c r="L666" s="3"/>
      <c r="M666" s="3"/>
      <c r="N666" s="1"/>
    </row>
    <row r="667" spans="1:14" x14ac:dyDescent="0.2">
      <c r="A667" s="1"/>
      <c r="B667" s="1"/>
      <c r="C667" s="1"/>
      <c r="D667" s="1"/>
      <c r="E667" s="1"/>
      <c r="F667" s="1"/>
      <c r="G667" s="1"/>
      <c r="H667" s="1"/>
      <c r="I667" s="1"/>
      <c r="J667" s="1"/>
      <c r="K667" s="1"/>
      <c r="L667" s="3"/>
      <c r="M667" s="3"/>
      <c r="N667" s="1"/>
    </row>
    <row r="668" spans="1:14" x14ac:dyDescent="0.2">
      <c r="A668" s="1"/>
      <c r="B668" s="1"/>
      <c r="C668" s="1"/>
      <c r="D668" s="1"/>
      <c r="E668" s="1"/>
      <c r="F668" s="1"/>
      <c r="G668" s="1"/>
      <c r="H668" s="1"/>
      <c r="I668" s="1"/>
      <c r="J668" s="1"/>
      <c r="K668" s="1"/>
      <c r="L668" s="3"/>
      <c r="M668" s="3"/>
      <c r="N668" s="1"/>
    </row>
    <row r="669" spans="1:14" x14ac:dyDescent="0.2">
      <c r="A669" s="1"/>
      <c r="B669" s="1"/>
      <c r="C669" s="1"/>
      <c r="D669" s="1"/>
      <c r="E669" s="1"/>
      <c r="F669" s="1"/>
      <c r="G669" s="1"/>
      <c r="H669" s="1"/>
      <c r="I669" s="1"/>
      <c r="J669" s="1"/>
      <c r="K669" s="1"/>
      <c r="L669" s="3"/>
      <c r="M669" s="3"/>
      <c r="N669" s="1"/>
    </row>
  </sheetData>
  <sheetProtection password="DFAF" sheet="1" objects="1" scenarios="1"/>
  <mergeCells count="2">
    <mergeCell ref="B402:D402"/>
    <mergeCell ref="B403:D403"/>
  </mergeCells>
  <phoneticPr fontId="2" type="noConversion"/>
  <conditionalFormatting sqref="D657">
    <cfRule type="cellIs" dxfId="479" priority="18" stopIfTrue="1" operator="equal">
      <formula>"gefeliciteerd!"</formula>
    </cfRule>
  </conditionalFormatting>
  <conditionalFormatting sqref="B651 B637 B611:B612 B598 B552 B449:B452 B462 B432 B374 B362 B181 B193 B132 B55 B44 B21 B35 B11 B144:B146 B565 B584">
    <cfRule type="cellIs" dxfId="478" priority="19" stopIfTrue="1" operator="notEqual">
      <formula>$J$15</formula>
    </cfRule>
  </conditionalFormatting>
  <conditionalFormatting sqref="D641:F641 C629 E629:F629 C620:C622 C544:E544 D439:F441 G438:G441 E457 E459 E405 D422:F425 G425 D382 C383 D384:D385 C386 C389 D387:D388 D390:D393 F366 C366:D366 C354 E354:F354 F262:F264 F267:F268 F270 F272 F274 H262:H263 H266 H269:H271 H273:H274 D278:D279 D282:D283 D285 D287 D290:D292 D295 D298:D301 F174 C174:D174 E200:E201 F203:G203 E204:F204 E210 G211 F210:F211 E207:F208 E137:F137 C137 D125:F125 D40 C49:D49 F49 C16:E16 C5:E5 G200:G201 C557:E557 E577:F577 F579 F581 E579:E581">
    <cfRule type="cellIs" dxfId="477" priority="20" stopIfTrue="1" operator="equal">
      <formula>"x"</formula>
    </cfRule>
  </conditionalFormatting>
  <conditionalFormatting sqref="C641 D629 C619 F544 E458 E407 E409 E411 C382 C384:C385 C387:C388 D383 D386 D389 C390:C392 E366 D354 H264:H265 F266 H267 H275 F275 D277 D281 D284 D288 D294 D297 D303:D304 E174 E203 G204 G210 E211 G207:G208 D137 C125 E40 E49 F16 F5 F200:F201 F557">
    <cfRule type="cellIs" dxfId="476" priority="21" stopIfTrue="1" operator="equal">
      <formula>"x"</formula>
    </cfRule>
  </conditionalFormatting>
  <conditionalFormatting sqref="H604">
    <cfRule type="cellIs" dxfId="475" priority="22" stopIfTrue="1" operator="greaterThan">
      <formula>"motivati"</formula>
    </cfRule>
    <cfRule type="cellIs" dxfId="474" priority="23" stopIfTrue="1" operator="greaterThan">
      <formula>"kwalitei"</formula>
    </cfRule>
    <cfRule type="cellIs" dxfId="473" priority="24" stopIfTrue="1" operator="greaterThan">
      <formula>"loyal"</formula>
    </cfRule>
  </conditionalFormatting>
  <conditionalFormatting sqref="E477">
    <cfRule type="cellIs" dxfId="472" priority="25" stopIfTrue="1" operator="greaterThan">
      <formula>"werving"</formula>
    </cfRule>
  </conditionalFormatting>
  <conditionalFormatting sqref="F490">
    <cfRule type="cellIs" dxfId="471" priority="26" stopIfTrue="1" operator="greaterThan">
      <formula>"train"</formula>
    </cfRule>
    <cfRule type="cellIs" dxfId="470" priority="27" stopIfTrue="1" operator="greaterThan">
      <formula>"opleid"</formula>
    </cfRule>
  </conditionalFormatting>
  <conditionalFormatting sqref="D490 F505">
    <cfRule type="cellIs" dxfId="469" priority="28" stopIfTrue="1" operator="greaterThan">
      <formula>"ontsla"</formula>
    </cfRule>
  </conditionalFormatting>
  <conditionalFormatting sqref="G499">
    <cfRule type="cellIs" dxfId="468" priority="29" stopIfTrue="1" operator="greaterThan">
      <formula>"medezeggenscha"</formula>
    </cfRule>
    <cfRule type="cellIs" dxfId="467" priority="30" stopIfTrue="1" operator="greaterThan">
      <formula>"inspraa"</formula>
    </cfRule>
  </conditionalFormatting>
  <conditionalFormatting sqref="D503">
    <cfRule type="cellIs" dxfId="466" priority="31" stopIfTrue="1" operator="greaterThan">
      <formula>"beoordel"</formula>
    </cfRule>
  </conditionalFormatting>
  <conditionalFormatting sqref="D594 D31">
    <cfRule type="cellIs" dxfId="465" priority="32" stopIfTrue="1" operator="equal">
      <formula>"JUIST"</formula>
    </cfRule>
  </conditionalFormatting>
  <conditionalFormatting sqref="D592:D593 D595 D29:D30 D32">
    <cfRule type="cellIs" dxfId="464" priority="33" stopIfTrue="1" operator="equal">
      <formula>"FOUT"</formula>
    </cfRule>
  </conditionalFormatting>
  <conditionalFormatting sqref="C518">
    <cfRule type="cellIs" dxfId="463" priority="34" stopIfTrue="1" operator="greaterThanOrEqual">
      <formula>"wie"</formula>
    </cfRule>
  </conditionalFormatting>
  <conditionalFormatting sqref="E472">
    <cfRule type="cellIs" dxfId="462" priority="35" stopIfTrue="1" operator="greaterThan">
      <formula>"vervang"</formula>
    </cfRule>
  </conditionalFormatting>
  <conditionalFormatting sqref="C469 B472">
    <cfRule type="cellIs" dxfId="461" priority="36" stopIfTrue="1" operator="greaterThan">
      <formula>"verzuimprev"</formula>
    </cfRule>
  </conditionalFormatting>
  <conditionalFormatting sqref="E473">
    <cfRule type="cellIs" dxfId="460" priority="37" stopIfTrue="1" operator="equal">
      <formula>"Vervangingskosten"</formula>
    </cfRule>
  </conditionalFormatting>
  <conditionalFormatting sqref="C470">
    <cfRule type="cellIs" dxfId="459" priority="38" stopIfTrue="1" operator="equal">
      <formula>"Verzuimpreventie"</formula>
    </cfRule>
  </conditionalFormatting>
  <conditionalFormatting sqref="E438 E410 E406 E408 G423">
    <cfRule type="cellIs" dxfId="458" priority="39" stopIfTrue="1" operator="equal">
      <formula>"x"</formula>
    </cfRule>
  </conditionalFormatting>
  <conditionalFormatting sqref="F438 E412:E413 G424">
    <cfRule type="cellIs" dxfId="457" priority="40" stopIfTrue="1" operator="equal">
      <formula>"x"</formula>
    </cfRule>
  </conditionalFormatting>
  <conditionalFormatting sqref="G422">
    <cfRule type="cellIs" dxfId="456" priority="41" stopIfTrue="1" operator="equal">
      <formula>"x"</formula>
    </cfRule>
    <cfRule type="expression" dxfId="455" priority="42" stopIfTrue="1">
      <formula>$C$431="x"</formula>
    </cfRule>
  </conditionalFormatting>
  <conditionalFormatting sqref="F320">
    <cfRule type="cellIs" dxfId="454" priority="45" stopIfTrue="1" operator="greaterThan">
      <formula>"ombuig"</formula>
    </cfRule>
    <cfRule type="cellIs" dxfId="453" priority="46" stopIfTrue="1" operator="greaterThan">
      <formula>"overlev"</formula>
    </cfRule>
  </conditionalFormatting>
  <conditionalFormatting sqref="E320">
    <cfRule type="cellIs" dxfId="452" priority="47" stopIfTrue="1" operator="equal">
      <formula>"voorkomen"</formula>
    </cfRule>
    <cfRule type="cellIs" dxfId="451" priority="48" stopIfTrue="1" operator="greaterThan">
      <formula>"aanpas"</formula>
    </cfRule>
  </conditionalFormatting>
  <conditionalFormatting sqref="F319">
    <cfRule type="cellIs" dxfId="450" priority="49" stopIfTrue="1" operator="greaterThan">
      <formula>"ombuig"</formula>
    </cfRule>
  </conditionalFormatting>
  <conditionalFormatting sqref="F321">
    <cfRule type="cellIs" dxfId="449" priority="50" stopIfTrue="1" operator="greaterThan">
      <formula>"overlev"</formula>
    </cfRule>
  </conditionalFormatting>
  <conditionalFormatting sqref="E319">
    <cfRule type="cellIs" dxfId="448" priority="51" stopIfTrue="1" operator="greaterThan">
      <formula>"voorkom"</formula>
    </cfRule>
  </conditionalFormatting>
  <conditionalFormatting sqref="E321">
    <cfRule type="cellIs" dxfId="447" priority="52" stopIfTrue="1" operator="greaterThan">
      <formula>"aanpass"</formula>
    </cfRule>
  </conditionalFormatting>
  <conditionalFormatting sqref="E314">
    <cfRule type="cellIs" dxfId="446" priority="53" stopIfTrue="1" operator="greaterThan">
      <formula>"benut"</formula>
    </cfRule>
  </conditionalFormatting>
  <conditionalFormatting sqref="E316:F316 F314">
    <cfRule type="cellIs" dxfId="445" priority="54" stopIfTrue="1" operator="greaterThan">
      <formula>"aanval"</formula>
    </cfRule>
  </conditionalFormatting>
  <conditionalFormatting sqref="F315">
    <cfRule type="cellIs" dxfId="444" priority="55" stopIfTrue="1" operator="greaterThan">
      <formula>"verdedig"</formula>
    </cfRule>
    <cfRule type="cellIs" dxfId="443" priority="56" stopIfTrue="1" operator="equal">
      <formula>"anticiperen"</formula>
    </cfRule>
  </conditionalFormatting>
  <conditionalFormatting sqref="B258">
    <cfRule type="cellIs" dxfId="442" priority="57" stopIfTrue="1" operator="greaterThan">
      <formula>"P-doel:"</formula>
    </cfRule>
  </conditionalFormatting>
  <conditionalFormatting sqref="D188">
    <cfRule type="cellIs" dxfId="441" priority="58" stopIfTrue="1" operator="equal">
      <formula>"a"</formula>
    </cfRule>
  </conditionalFormatting>
  <conditionalFormatting sqref="B222:B223">
    <cfRule type="cellIs" dxfId="440" priority="59" stopIfTrue="1" operator="greaterThan">
      <formula>"Ad"</formula>
    </cfRule>
  </conditionalFormatting>
  <conditionalFormatting sqref="C104:C105 C107 C68:C69 C71 C91:C92 C94">
    <cfRule type="cellIs" dxfId="439" priority="60" stopIfTrue="1" operator="equal">
      <formula>"JUISt"</formula>
    </cfRule>
  </conditionalFormatting>
  <conditionalFormatting sqref="B107">
    <cfRule type="cellIs" dxfId="438" priority="61" stopIfTrue="1" operator="greaterThan">
      <formula>"Geschikt alternatief:"</formula>
    </cfRule>
  </conditionalFormatting>
  <conditionalFormatting sqref="B71 B94">
    <cfRule type="cellIs" dxfId="437" priority="62" stopIfTrue="1" operator="greaterThan">
      <formula>"Het is"</formula>
    </cfRule>
  </conditionalFormatting>
  <conditionalFormatting sqref="E117">
    <cfRule type="cellIs" dxfId="436" priority="63" stopIfTrue="1" operator="equal">
      <formula>"smart"</formula>
    </cfRule>
  </conditionalFormatting>
  <conditionalFormatting sqref="H111">
    <cfRule type="cellIs" dxfId="435" priority="64" stopIfTrue="1" operator="equal">
      <formula>"Informatie"</formula>
    </cfRule>
  </conditionalFormatting>
  <conditionalFormatting sqref="H114">
    <cfRule type="cellIs" dxfId="434" priority="65" stopIfTrue="1" operator="equal">
      <formula>"Toetsen"</formula>
    </cfRule>
  </conditionalFormatting>
  <conditionalFormatting sqref="H117">
    <cfRule type="cellIs" dxfId="433" priority="66" stopIfTrue="1" operator="equal">
      <formula>"SMART"</formula>
    </cfRule>
  </conditionalFormatting>
  <conditionalFormatting sqref="E168:G168">
    <cfRule type="cellIs" dxfId="432" priority="67" stopIfTrue="1" operator="equal">
      <formula>"Keuze!"</formula>
    </cfRule>
  </conditionalFormatting>
  <conditionalFormatting sqref="D151:G151 D154:G154 D157:G157 D160:G160 D163:G163">
    <cfRule type="cellIs" dxfId="431" priority="68" stopIfTrue="1" operator="notBetween">
      <formula>0</formula>
      <formula>10.1</formula>
    </cfRule>
  </conditionalFormatting>
  <conditionalFormatting sqref="E167:G167">
    <cfRule type="cellIs" dxfId="430" priority="69" stopIfTrue="1" operator="equal">
      <formula>$C$169</formula>
    </cfRule>
  </conditionalFormatting>
  <conditionalFormatting sqref="F229:F230">
    <cfRule type="cellIs" dxfId="429" priority="70" stopIfTrue="1" operator="equal">
      <formula>"gap"</formula>
    </cfRule>
  </conditionalFormatting>
  <conditionalFormatting sqref="F188">
    <cfRule type="cellIs" dxfId="428" priority="71" stopIfTrue="1" operator="equal">
      <formula>"attainable"</formula>
    </cfRule>
  </conditionalFormatting>
  <conditionalFormatting sqref="E111">
    <cfRule type="cellIs" dxfId="427" priority="72" stopIfTrue="1" operator="equal">
      <formula>"informatie"</formula>
    </cfRule>
  </conditionalFormatting>
  <conditionalFormatting sqref="E114">
    <cfRule type="cellIs" dxfId="426" priority="73" stopIfTrue="1" operator="equal">
      <formula>"toetsen"</formula>
    </cfRule>
  </conditionalFormatting>
  <conditionalFormatting sqref="B278:B302">
    <cfRule type="expression" dxfId="425" priority="74" stopIfTrue="1">
      <formula>$C$273="x"</formula>
    </cfRule>
  </conditionalFormatting>
  <conditionalFormatting sqref="D438">
    <cfRule type="cellIs" dxfId="424" priority="75" stopIfTrue="1" operator="equal">
      <formula>"x"</formula>
    </cfRule>
    <cfRule type="expression" dxfId="423" priority="76" stopIfTrue="1">
      <formula>$C$448="x"</formula>
    </cfRule>
  </conditionalFormatting>
  <conditionalFormatting sqref="D518:D522 D525 D527 D537">
    <cfRule type="expression" dxfId="422" priority="77" stopIfTrue="1">
      <formula>$C$539="x"</formula>
    </cfRule>
  </conditionalFormatting>
  <conditionalFormatting sqref="C520">
    <cfRule type="cellIs" dxfId="421" priority="78" stopIfTrue="1" operator="equal">
      <formula>"wanneer"</formula>
    </cfRule>
  </conditionalFormatting>
  <conditionalFormatting sqref="C519">
    <cfRule type="cellIs" dxfId="420" priority="79" stopIfTrue="1" operator="equal">
      <formula>"welk"</formula>
    </cfRule>
  </conditionalFormatting>
  <conditionalFormatting sqref="C521">
    <cfRule type="cellIs" dxfId="419" priority="80" stopIfTrue="1" operator="equal">
      <formula>"waar"</formula>
    </cfRule>
  </conditionalFormatting>
  <conditionalFormatting sqref="C522">
    <cfRule type="cellIs" dxfId="418" priority="81" stopIfTrue="1" operator="equal">
      <formula>"wie"</formula>
    </cfRule>
  </conditionalFormatting>
  <conditionalFormatting sqref="C525">
    <cfRule type="cellIs" dxfId="417" priority="82" stopIfTrue="1" operator="equal">
      <formula>"wat"</formula>
    </cfRule>
  </conditionalFormatting>
  <conditionalFormatting sqref="C527">
    <cfRule type="cellIs" dxfId="416" priority="83" stopIfTrue="1" operator="equal">
      <formula>"waarom"</formula>
    </cfRule>
  </conditionalFormatting>
  <conditionalFormatting sqref="C537">
    <cfRule type="cellIs" dxfId="415" priority="84" stopIfTrue="1" operator="equal">
      <formula>"wijze"</formula>
    </cfRule>
  </conditionalFormatting>
  <conditionalFormatting sqref="G490 H499:H500 F477 C490 C503 G505">
    <cfRule type="expression" dxfId="414" priority="85" stopIfTrue="1">
      <formula>$C$507="x"</formula>
    </cfRule>
  </conditionalFormatting>
  <conditionalFormatting sqref="B625">
    <cfRule type="expression" dxfId="413" priority="86" stopIfTrue="1">
      <formula>$C$624="x"</formula>
    </cfRule>
  </conditionalFormatting>
  <conditionalFormatting sqref="E578:F578 F580">
    <cfRule type="cellIs" dxfId="412" priority="12" stopIfTrue="1" operator="equal">
      <formula>"x"</formula>
    </cfRule>
  </conditionalFormatting>
  <conditionalFormatting sqref="E382:E391">
    <cfRule type="cellIs" dxfId="411" priority="2" operator="equal">
      <formula>"JUIST"</formula>
    </cfRule>
    <cfRule type="cellIs" dxfId="410" priority="1" operator="equal">
      <formula>"""ONUIST"""</formula>
    </cfRule>
  </conditionalFormatting>
  <dataValidations count="1">
    <dataValidation type="list" allowBlank="1" showDropDown="1" showInputMessage="1" showErrorMessage="1" error="Alleen een kruisje (x), spatie of nul (0) is geldig!" sqref="C5:F5">
      <formula1>$M$5:$M$7</formula1>
    </dataValidation>
  </dataValidations>
  <hyperlinks>
    <hyperlink ref="D348" r:id="rId1"/>
    <hyperlink ref="E361" r:id="rId2"/>
    <hyperlink ref="D505" r:id="rId3"/>
    <hyperlink ref="F502" r:id="rId4"/>
    <hyperlink ref="F503:F504" r:id="rId5" display="Preventie (RIE, etc)"/>
    <hyperlink ref="F491" r:id="rId6"/>
    <hyperlink ref="C465" r:id="rId7"/>
    <hyperlink ref="E465" r:id="rId8"/>
    <hyperlink ref="E481" r:id="rId9"/>
    <hyperlink ref="E482" r:id="rId10"/>
    <hyperlink ref="F488" r:id="rId11"/>
    <hyperlink ref="C496" r:id="rId12"/>
    <hyperlink ref="F493" r:id="rId13"/>
    <hyperlink ref="F589" r:id="rId14"/>
    <hyperlink ref="F650" r:id="rId15"/>
    <hyperlink ref="F503" r:id="rId16"/>
    <hyperlink ref="F504" r:id="rId17"/>
    <hyperlink ref="G497" r:id="rId18"/>
    <hyperlink ref="F257" r:id="rId19"/>
    <hyperlink ref="E170" r:id="rId20"/>
    <hyperlink ref="F373" r:id="rId21"/>
    <hyperlink ref="B189" r:id="rId22"/>
  </hyperlinks>
  <pageMargins left="0.75" right="0.75" top="1" bottom="1" header="0.5" footer="0.5"/>
  <pageSetup paperSize="9" orientation="portrait" horizontalDpi="1200" verticalDpi="0" r:id="rId23"/>
  <headerFooter alignWithMargins="0"/>
  <ignoredErrors>
    <ignoredError sqref="J31 J112 J114 J594 J383 J386 J389 J458 K406:K407 J408:K408 J410:K410 J407 J409:K409 G580" formula="1"/>
    <ignoredError sqref="J97 J74 J58 J466 J471 J601 J604 J607 D337:D344 E337:E344" evalError="1"/>
    <ignoredError sqref="J99 J101 J76 J78 J80 J64 J62 J60" evalError="1" formula="1"/>
  </ignoredErrors>
  <drawing r:id="rId24"/>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N1397"/>
  <sheetViews>
    <sheetView showZeros="0" zoomScale="115" zoomScaleNormal="115" zoomScalePageLayoutView="150" workbookViewId="0"/>
  </sheetViews>
  <sheetFormatPr defaultColWidth="8.85546875" defaultRowHeight="12.75" x14ac:dyDescent="0.2"/>
  <cols>
    <col min="1" max="1" width="3.85546875" customWidth="1"/>
    <col min="2" max="2" width="61.140625" customWidth="1"/>
    <col min="3" max="6" width="15.7109375" customWidth="1"/>
    <col min="7" max="8" width="17.140625" customWidth="1"/>
    <col min="9" max="9" width="2" hidden="1" customWidth="1"/>
    <col min="10" max="11" width="10.7109375" hidden="1" customWidth="1"/>
    <col min="12" max="12" width="13.85546875" style="91" hidden="1" customWidth="1"/>
    <col min="13" max="13" width="8.85546875" hidden="1" customWidth="1"/>
    <col min="14" max="14" width="5.42578125" customWidth="1"/>
  </cols>
  <sheetData>
    <row r="1" spans="1:14" x14ac:dyDescent="0.2">
      <c r="A1" s="1"/>
      <c r="B1" s="105" t="s">
        <v>2626</v>
      </c>
      <c r="C1" s="112" t="s">
        <v>785</v>
      </c>
      <c r="D1" s="1"/>
      <c r="E1" s="1"/>
      <c r="F1" s="1"/>
      <c r="G1" s="1"/>
      <c r="H1" s="1"/>
      <c r="I1" s="1"/>
      <c r="J1" s="1"/>
      <c r="K1" s="1"/>
      <c r="L1" s="3"/>
      <c r="M1" s="79"/>
      <c r="N1" s="1"/>
    </row>
    <row r="2" spans="1:14" x14ac:dyDescent="0.2">
      <c r="A2" s="14"/>
      <c r="B2" s="14"/>
      <c r="C2" s="14"/>
      <c r="D2" s="14"/>
      <c r="E2" s="14"/>
      <c r="F2" s="14"/>
      <c r="G2" s="14"/>
      <c r="H2" s="14"/>
      <c r="I2" s="14"/>
      <c r="J2" s="1"/>
      <c r="K2" s="1"/>
      <c r="L2" s="3"/>
      <c r="M2" s="79"/>
      <c r="N2" s="1"/>
    </row>
    <row r="3" spans="1:14" x14ac:dyDescent="0.2">
      <c r="A3" s="1"/>
      <c r="B3" s="1"/>
      <c r="C3" s="1"/>
      <c r="D3" s="1"/>
      <c r="E3" s="1"/>
      <c r="F3" s="1"/>
      <c r="G3" s="1"/>
      <c r="H3" s="1"/>
      <c r="I3" s="1"/>
      <c r="J3" s="1"/>
      <c r="K3" s="1"/>
      <c r="L3" s="3"/>
      <c r="M3" s="1"/>
      <c r="N3" s="1"/>
    </row>
    <row r="4" spans="1:14" x14ac:dyDescent="0.2">
      <c r="A4" s="1" t="s">
        <v>998</v>
      </c>
      <c r="B4" s="2" t="s">
        <v>831</v>
      </c>
      <c r="C4" s="1"/>
      <c r="D4" s="1"/>
      <c r="E4" s="1"/>
      <c r="F4" s="1"/>
      <c r="G4" s="1"/>
      <c r="H4" s="1"/>
      <c r="I4" s="1"/>
      <c r="J4" s="1"/>
      <c r="K4" s="1"/>
      <c r="L4" s="3"/>
      <c r="M4" s="1"/>
      <c r="N4" s="1"/>
    </row>
    <row r="5" spans="1:14" x14ac:dyDescent="0.2">
      <c r="A5" s="1"/>
      <c r="B5" s="1" t="s">
        <v>2241</v>
      </c>
      <c r="C5" s="1"/>
      <c r="D5" s="1"/>
      <c r="E5" s="1"/>
      <c r="F5" s="1"/>
      <c r="G5" s="1"/>
      <c r="H5" s="1"/>
      <c r="I5" s="1"/>
      <c r="J5" s="1"/>
      <c r="K5" s="1"/>
      <c r="L5" s="3"/>
      <c r="M5" s="1"/>
      <c r="N5" s="1"/>
    </row>
    <row r="6" spans="1:14" x14ac:dyDescent="0.2">
      <c r="A6" s="1" t="s">
        <v>995</v>
      </c>
      <c r="B6" s="1" t="s">
        <v>2242</v>
      </c>
      <c r="C6" s="1"/>
      <c r="D6" s="1"/>
      <c r="E6" s="1"/>
      <c r="F6" s="1"/>
      <c r="G6" s="1"/>
      <c r="H6" s="1"/>
      <c r="I6" s="1"/>
      <c r="J6" s="1"/>
      <c r="K6" s="1"/>
      <c r="L6" s="3"/>
      <c r="M6" s="5" t="s">
        <v>25</v>
      </c>
      <c r="N6" s="1"/>
    </row>
    <row r="7" spans="1:14" x14ac:dyDescent="0.2">
      <c r="A7" s="1" t="s">
        <v>995</v>
      </c>
      <c r="B7" s="1" t="s">
        <v>2243</v>
      </c>
      <c r="C7" s="1"/>
      <c r="D7" s="1"/>
      <c r="E7" s="1"/>
      <c r="F7" s="1"/>
      <c r="G7" s="1"/>
      <c r="H7" s="1"/>
      <c r="I7" s="1"/>
      <c r="J7" s="1"/>
      <c r="K7" s="1"/>
      <c r="L7" s="3"/>
      <c r="M7" s="5" t="s">
        <v>995</v>
      </c>
      <c r="N7" s="1"/>
    </row>
    <row r="8" spans="1:14" x14ac:dyDescent="0.2">
      <c r="A8" s="1" t="s">
        <v>995</v>
      </c>
      <c r="B8" s="1" t="s">
        <v>832</v>
      </c>
      <c r="C8" s="1"/>
      <c r="D8" s="1"/>
      <c r="E8" s="1"/>
      <c r="F8" s="1"/>
      <c r="G8" s="1"/>
      <c r="H8" s="1"/>
      <c r="I8" s="1"/>
      <c r="J8" s="1"/>
      <c r="K8" s="1"/>
      <c r="L8" s="3"/>
      <c r="M8" s="5">
        <v>0</v>
      </c>
      <c r="N8" s="1"/>
    </row>
    <row r="9" spans="1:14" x14ac:dyDescent="0.2">
      <c r="A9" s="1"/>
      <c r="B9" s="80" t="s">
        <v>1037</v>
      </c>
      <c r="C9" s="1"/>
      <c r="D9" s="1"/>
      <c r="E9" s="1"/>
      <c r="F9" s="1"/>
      <c r="G9" s="1"/>
      <c r="H9" s="1"/>
      <c r="I9" s="1"/>
      <c r="J9" s="1"/>
      <c r="K9" s="1"/>
      <c r="L9" s="3"/>
      <c r="M9" s="1"/>
      <c r="N9" s="1"/>
    </row>
    <row r="10" spans="1:14" x14ac:dyDescent="0.2">
      <c r="A10" s="1"/>
      <c r="B10" s="81" t="s">
        <v>895</v>
      </c>
      <c r="C10" s="1"/>
      <c r="D10" s="1"/>
      <c r="E10" s="1"/>
      <c r="F10" s="1"/>
      <c r="G10" s="1"/>
      <c r="H10" s="1"/>
      <c r="I10" s="1"/>
      <c r="J10" s="1"/>
      <c r="K10" s="1"/>
      <c r="L10" s="3"/>
      <c r="M10" s="1"/>
      <c r="N10" s="1"/>
    </row>
    <row r="11" spans="1:14" x14ac:dyDescent="0.2">
      <c r="A11" s="1" t="s">
        <v>995</v>
      </c>
      <c r="B11" s="1" t="s">
        <v>995</v>
      </c>
      <c r="C11" s="1"/>
      <c r="D11" s="1"/>
      <c r="E11" s="1"/>
      <c r="F11" s="1"/>
      <c r="G11" s="1"/>
      <c r="H11" s="1"/>
      <c r="I11" s="1"/>
      <c r="J11" s="1"/>
      <c r="K11" s="1"/>
      <c r="L11" s="3"/>
      <c r="M11" s="1"/>
      <c r="N11" s="1"/>
    </row>
    <row r="12" spans="1:14" x14ac:dyDescent="0.2">
      <c r="A12" s="6" t="s">
        <v>999</v>
      </c>
      <c r="B12" s="235" t="s">
        <v>827</v>
      </c>
      <c r="C12" s="24" t="s">
        <v>995</v>
      </c>
      <c r="D12" s="37" t="str">
        <f>J12</f>
        <v/>
      </c>
      <c r="E12" s="1"/>
      <c r="F12" s="1"/>
      <c r="G12" s="1"/>
      <c r="H12" s="1"/>
      <c r="I12" s="1"/>
      <c r="J12" s="5" t="str">
        <f>IF(C12="x","FOUT","")</f>
        <v/>
      </c>
      <c r="K12" s="5">
        <f>ABS(IF(J12="JUIST","1","0"))</f>
        <v>0</v>
      </c>
      <c r="L12" s="3" t="s">
        <v>995</v>
      </c>
      <c r="M12" s="1"/>
      <c r="N12" s="1"/>
    </row>
    <row r="13" spans="1:14" x14ac:dyDescent="0.2">
      <c r="A13" s="6" t="s">
        <v>1000</v>
      </c>
      <c r="B13" s="6" t="s">
        <v>829</v>
      </c>
      <c r="C13" s="24" t="s">
        <v>995</v>
      </c>
      <c r="D13" s="37" t="str">
        <f>J13</f>
        <v/>
      </c>
      <c r="E13" s="1"/>
      <c r="F13" s="1"/>
      <c r="G13" s="1"/>
      <c r="H13" s="1"/>
      <c r="I13" s="1"/>
      <c r="J13" s="5" t="str">
        <f>IF(C13="x","FOUT","")</f>
        <v/>
      </c>
      <c r="K13" s="5">
        <f>ABS(IF(J13="JUIST","1","0"))</f>
        <v>0</v>
      </c>
      <c r="L13" s="3" t="s">
        <v>995</v>
      </c>
      <c r="M13" s="1"/>
      <c r="N13" s="1"/>
    </row>
    <row r="14" spans="1:14" x14ac:dyDescent="0.2">
      <c r="A14" s="6" t="s">
        <v>1001</v>
      </c>
      <c r="B14" s="504" t="s">
        <v>828</v>
      </c>
      <c r="C14" s="24" t="s">
        <v>995</v>
      </c>
      <c r="D14" s="37" t="str">
        <f>J14</f>
        <v/>
      </c>
      <c r="E14" s="1"/>
      <c r="F14" s="1"/>
      <c r="G14" s="1"/>
      <c r="H14" s="1"/>
      <c r="I14" s="1"/>
      <c r="J14" s="5" t="str">
        <f>IF(C14="x","JUIST","")</f>
        <v/>
      </c>
      <c r="K14" s="5">
        <f>ABS(IF(J14="JUIST","1","0"))</f>
        <v>0</v>
      </c>
      <c r="L14" s="3">
        <v>1</v>
      </c>
      <c r="M14" s="1"/>
      <c r="N14" s="1"/>
    </row>
    <row r="15" spans="1:14" x14ac:dyDescent="0.2">
      <c r="A15" s="6" t="s">
        <v>1002</v>
      </c>
      <c r="B15" s="235" t="s">
        <v>830</v>
      </c>
      <c r="C15" s="24" t="s">
        <v>995</v>
      </c>
      <c r="D15" s="37" t="str">
        <f>J15</f>
        <v/>
      </c>
      <c r="E15" s="1"/>
      <c r="F15" s="1"/>
      <c r="G15" s="1"/>
      <c r="H15" s="1"/>
      <c r="I15" s="1"/>
      <c r="J15" s="5" t="str">
        <f>IF(C15="x","FOUT","")</f>
        <v/>
      </c>
      <c r="K15" s="5">
        <f>ABS(IF(J15="JUIST","1","0"))</f>
        <v>0</v>
      </c>
      <c r="L15" s="3"/>
      <c r="M15" s="1"/>
      <c r="N15" s="1"/>
    </row>
    <row r="16" spans="1:14" x14ac:dyDescent="0.2">
      <c r="A16" s="1"/>
      <c r="B16" s="1"/>
      <c r="C16" s="1"/>
      <c r="D16" s="1"/>
      <c r="E16" s="1"/>
      <c r="F16" s="1"/>
      <c r="G16" s="1"/>
      <c r="H16" s="1"/>
      <c r="I16" s="1"/>
      <c r="J16" s="1"/>
      <c r="K16" s="1"/>
      <c r="L16" s="3"/>
      <c r="M16" s="1"/>
      <c r="N16" s="1"/>
    </row>
    <row r="17" spans="1:14" x14ac:dyDescent="0.2">
      <c r="A17" s="1"/>
      <c r="B17" s="82" t="s">
        <v>1033</v>
      </c>
      <c r="C17" s="318" t="s">
        <v>995</v>
      </c>
      <c r="D17" s="1"/>
      <c r="E17" s="1"/>
      <c r="F17" s="1"/>
      <c r="G17" s="1"/>
      <c r="H17" s="1"/>
      <c r="I17" s="1"/>
      <c r="J17" s="1"/>
      <c r="K17" s="1"/>
      <c r="L17" s="3"/>
      <c r="M17" s="1"/>
      <c r="N17" s="1"/>
    </row>
    <row r="18" spans="1:14" x14ac:dyDescent="0.2">
      <c r="A18" s="1"/>
      <c r="B18" s="264" t="str">
        <f>J18</f>
        <v/>
      </c>
      <c r="C18" s="1"/>
      <c r="D18" s="1"/>
      <c r="E18" s="1"/>
      <c r="F18" s="1"/>
      <c r="G18" s="1"/>
      <c r="H18" s="1"/>
      <c r="I18" s="1"/>
      <c r="J18" s="73" t="str">
        <f>IF(C17="x","Het juiste antwoord is: C","")</f>
        <v/>
      </c>
      <c r="K18" s="1"/>
      <c r="L18" s="3"/>
      <c r="M18" s="1"/>
      <c r="N18" s="1"/>
    </row>
    <row r="19" spans="1:14" x14ac:dyDescent="0.2">
      <c r="A19" s="14"/>
      <c r="B19" s="14"/>
      <c r="C19" s="14"/>
      <c r="D19" s="14"/>
      <c r="E19" s="14"/>
      <c r="F19" s="14"/>
      <c r="G19" s="14"/>
      <c r="H19" s="14"/>
      <c r="I19" s="14"/>
      <c r="J19" s="5" t="e">
        <f>SEARCH("gestandaardiseerd",G24)</f>
        <v>#VALUE!</v>
      </c>
      <c r="K19" s="1"/>
      <c r="L19" s="3"/>
      <c r="M19" s="1"/>
      <c r="N19" s="1"/>
    </row>
    <row r="20" spans="1:14" x14ac:dyDescent="0.2">
      <c r="A20" s="1"/>
      <c r="B20" s="1"/>
      <c r="C20" s="1"/>
      <c r="D20" s="1"/>
      <c r="E20" s="1"/>
      <c r="F20" s="1"/>
      <c r="G20" s="1"/>
      <c r="H20" s="1"/>
      <c r="I20" s="1"/>
      <c r="J20" s="5">
        <f>ABS(ISERR(J19))</f>
        <v>1</v>
      </c>
      <c r="K20" s="5">
        <f>ABS(IF(J20=0,"1","0"))</f>
        <v>0</v>
      </c>
      <c r="L20" s="3">
        <v>1</v>
      </c>
      <c r="M20" s="1"/>
      <c r="N20" s="1"/>
    </row>
    <row r="21" spans="1:14" x14ac:dyDescent="0.2">
      <c r="A21" s="1" t="s">
        <v>1006</v>
      </c>
      <c r="B21" s="1" t="s">
        <v>839</v>
      </c>
      <c r="C21" s="1"/>
      <c r="E21" s="1"/>
      <c r="F21" s="254"/>
      <c r="G21" s="255" t="s">
        <v>835</v>
      </c>
      <c r="H21" s="1"/>
      <c r="I21" s="1"/>
      <c r="J21" s="5" t="e">
        <f>SEARCH("centraal",G24)</f>
        <v>#VALUE!</v>
      </c>
      <c r="K21" s="1"/>
      <c r="L21" s="3"/>
      <c r="M21" s="1"/>
      <c r="N21" s="1"/>
    </row>
    <row r="22" spans="1:14" x14ac:dyDescent="0.2">
      <c r="A22" s="1"/>
      <c r="B22" s="67" t="s">
        <v>2696</v>
      </c>
      <c r="C22" s="1"/>
      <c r="D22" s="1"/>
      <c r="E22" s="1"/>
      <c r="F22" s="256" t="s">
        <v>833</v>
      </c>
      <c r="G22" s="257" t="s">
        <v>836</v>
      </c>
      <c r="H22" s="1"/>
      <c r="I22" s="1"/>
      <c r="J22" s="5">
        <f>ABS(ISERR(J21))</f>
        <v>1</v>
      </c>
      <c r="K22" s="5">
        <f>ABS(IF(J22=0,"1","0"))</f>
        <v>0</v>
      </c>
      <c r="L22" s="3"/>
      <c r="M22" s="1"/>
      <c r="N22" s="1"/>
    </row>
    <row r="23" spans="1:14" ht="13.5" thickBot="1" x14ac:dyDescent="0.25">
      <c r="A23" s="1"/>
      <c r="B23" s="1"/>
      <c r="C23" s="1"/>
      <c r="D23" s="1"/>
      <c r="E23" s="1"/>
      <c r="F23" s="258" t="s">
        <v>834</v>
      </c>
      <c r="G23" s="259">
        <v>0</v>
      </c>
      <c r="H23" s="1"/>
      <c r="I23" s="1"/>
      <c r="J23" s="5" t="e">
        <f>SEARCH("centrale regie",G24)</f>
        <v>#VALUE!</v>
      </c>
      <c r="K23" s="1"/>
      <c r="L23" s="3"/>
      <c r="M23" s="1"/>
      <c r="N23" s="1"/>
    </row>
    <row r="24" spans="1:14" ht="65.25" thickTop="1" thickBot="1" x14ac:dyDescent="0.25">
      <c r="A24" s="1"/>
      <c r="B24" s="263" t="s">
        <v>840</v>
      </c>
      <c r="C24" s="1"/>
      <c r="D24" s="1"/>
      <c r="E24" s="265" t="s">
        <v>838</v>
      </c>
      <c r="F24" s="260" t="s">
        <v>2244</v>
      </c>
      <c r="G24" s="285">
        <v>0</v>
      </c>
      <c r="H24" s="1"/>
      <c r="I24" s="1"/>
      <c r="J24" s="5">
        <f>ABS(ISERR(J23))</f>
        <v>1</v>
      </c>
      <c r="K24" s="5">
        <f>ABS(IF(J24=0,"1","0"))</f>
        <v>0</v>
      </c>
      <c r="L24" s="3"/>
      <c r="M24" s="1"/>
      <c r="N24" s="1"/>
    </row>
    <row r="25" spans="1:14" ht="78" thickTop="1" thickBot="1" x14ac:dyDescent="0.25">
      <c r="A25" s="1"/>
      <c r="B25" s="261" t="s">
        <v>995</v>
      </c>
      <c r="C25" s="262" t="s">
        <v>995</v>
      </c>
      <c r="E25" s="266" t="s">
        <v>837</v>
      </c>
      <c r="F25" s="260" t="s">
        <v>2245</v>
      </c>
      <c r="G25" s="284" t="s">
        <v>2246</v>
      </c>
      <c r="H25" s="1"/>
      <c r="I25" s="1"/>
      <c r="J25" s="5" t="e">
        <f>SEARCH("P&amp;O bepaal",G24)</f>
        <v>#VALUE!</v>
      </c>
      <c r="K25" s="1"/>
      <c r="L25" s="3"/>
      <c r="M25" s="1"/>
      <c r="N25" s="1"/>
    </row>
    <row r="26" spans="1:14" ht="13.5" thickTop="1" x14ac:dyDescent="0.2">
      <c r="A26" s="1"/>
      <c r="B26" s="82" t="s">
        <v>1033</v>
      </c>
      <c r="C26" s="318" t="s">
        <v>995</v>
      </c>
      <c r="D26" s="1"/>
      <c r="E26" s="1"/>
      <c r="F26" s="1"/>
      <c r="G26" s="1"/>
      <c r="H26" s="1"/>
      <c r="I26" s="1"/>
      <c r="J26" s="5">
        <f>ABS(ISERR(J25))</f>
        <v>1</v>
      </c>
      <c r="K26" s="5">
        <f>ABS(IF(J26=0,"1","0"))</f>
        <v>0</v>
      </c>
      <c r="L26" s="3"/>
      <c r="M26" s="5" t="s">
        <v>25</v>
      </c>
      <c r="N26" s="1"/>
    </row>
    <row r="27" spans="1:14" ht="27.6" customHeight="1" x14ac:dyDescent="0.2">
      <c r="A27" s="1"/>
      <c r="B27" s="264" t="str">
        <f>J27</f>
        <v/>
      </c>
      <c r="C27" s="1"/>
      <c r="D27" s="1"/>
      <c r="E27" s="1"/>
      <c r="F27" s="1"/>
      <c r="G27" s="1"/>
      <c r="H27" s="1"/>
      <c r="I27" s="1"/>
      <c r="J27" s="73" t="str">
        <f>IF(C26="x","Gestandaardiseerd en centraal; zoveel mogelijk door P&amp;O bepaald, c.q. centrale regie door P&amp;O.","")</f>
        <v/>
      </c>
      <c r="K27" s="1"/>
      <c r="L27" s="3"/>
      <c r="M27" s="5">
        <v>0</v>
      </c>
      <c r="N27" s="1"/>
    </row>
    <row r="28" spans="1:14" x14ac:dyDescent="0.2">
      <c r="A28" s="1"/>
      <c r="B28" s="1"/>
      <c r="C28" s="1"/>
      <c r="D28" s="1"/>
      <c r="E28" s="1"/>
      <c r="F28" s="1"/>
      <c r="G28" s="1"/>
      <c r="H28" s="1"/>
      <c r="I28" s="1"/>
      <c r="K28" s="1"/>
      <c r="L28" s="3"/>
      <c r="M28" s="1"/>
      <c r="N28" s="1"/>
    </row>
    <row r="29" spans="1:14" x14ac:dyDescent="0.2">
      <c r="A29" s="14"/>
      <c r="B29" s="14"/>
      <c r="C29" s="14"/>
      <c r="D29" s="14"/>
      <c r="E29" s="14"/>
      <c r="F29" s="14"/>
      <c r="G29" s="14"/>
      <c r="H29" s="14"/>
      <c r="I29" s="14"/>
      <c r="J29" s="1"/>
      <c r="K29" s="1"/>
      <c r="L29" s="3"/>
      <c r="M29" s="79"/>
      <c r="N29" s="1"/>
    </row>
    <row r="30" spans="1:14" x14ac:dyDescent="0.2">
      <c r="A30" s="1"/>
      <c r="B30" s="1"/>
      <c r="C30" s="1"/>
      <c r="D30" s="1"/>
      <c r="E30" s="1"/>
      <c r="F30" s="1"/>
      <c r="G30" s="1"/>
      <c r="H30" s="1"/>
      <c r="I30" s="1"/>
      <c r="J30" s="5" t="e">
        <f>SEARCH("Effect",D32)</f>
        <v>#VALUE!</v>
      </c>
      <c r="K30" s="1"/>
      <c r="L30" s="3"/>
      <c r="M30" s="1"/>
      <c r="N30" s="1"/>
    </row>
    <row r="31" spans="1:14" x14ac:dyDescent="0.2">
      <c r="A31" s="1" t="s">
        <v>1032</v>
      </c>
      <c r="B31" s="1" t="s">
        <v>1237</v>
      </c>
      <c r="C31" s="1"/>
      <c r="D31" s="5" t="s">
        <v>479</v>
      </c>
      <c r="E31" s="5" t="s">
        <v>1239</v>
      </c>
      <c r="F31" s="499" t="s">
        <v>1240</v>
      </c>
      <c r="G31" s="5" t="s">
        <v>25</v>
      </c>
      <c r="H31" s="172" t="s">
        <v>475</v>
      </c>
      <c r="I31" s="1"/>
      <c r="J31" s="5">
        <f>ABS(ISERR(J30))</f>
        <v>1</v>
      </c>
      <c r="K31" s="5">
        <f>ABS(IF(J31=0,"1","0"))</f>
        <v>0</v>
      </c>
      <c r="L31" s="3">
        <v>1</v>
      </c>
      <c r="M31" s="1" t="s">
        <v>1241</v>
      </c>
      <c r="N31" s="1"/>
    </row>
    <row r="32" spans="1:14" x14ac:dyDescent="0.2">
      <c r="A32" s="1"/>
      <c r="B32" s="81" t="s">
        <v>1238</v>
      </c>
      <c r="C32" s="1"/>
      <c r="D32" s="10" t="s">
        <v>995</v>
      </c>
      <c r="E32" s="5" t="s">
        <v>1239</v>
      </c>
      <c r="F32" s="10" t="s">
        <v>995</v>
      </c>
      <c r="G32" s="5" t="s">
        <v>25</v>
      </c>
      <c r="H32" s="10" t="s">
        <v>995</v>
      </c>
      <c r="I32" s="1"/>
      <c r="J32" s="5" t="e">
        <f>SEARCH("kwaliteit",F32)</f>
        <v>#VALUE!</v>
      </c>
      <c r="K32" s="1"/>
      <c r="L32" s="3"/>
      <c r="M32" s="1"/>
      <c r="N32" s="1"/>
    </row>
    <row r="33" spans="1:14" x14ac:dyDescent="0.2">
      <c r="A33" s="1"/>
      <c r="B33" s="81" t="s">
        <v>1244</v>
      </c>
      <c r="C33" s="1"/>
      <c r="D33" s="3">
        <f>IF(C35="x",M31,)</f>
        <v>0</v>
      </c>
      <c r="E33" s="3">
        <f>IF(C35="x","=",)</f>
        <v>0</v>
      </c>
      <c r="F33" s="3">
        <f>IF(C35="x",M33,)</f>
        <v>0</v>
      </c>
      <c r="G33" s="3">
        <f>IF(C35="x","=",)</f>
        <v>0</v>
      </c>
      <c r="H33" s="3">
        <f>IF(C35="x",M35,)</f>
        <v>0</v>
      </c>
      <c r="I33" s="1"/>
      <c r="J33" s="5">
        <f>ABS(ISERR(J32))</f>
        <v>1</v>
      </c>
      <c r="K33" s="5">
        <f>ABS(IF(J33=0,"1","0"))</f>
        <v>0</v>
      </c>
      <c r="L33" s="3">
        <v>1</v>
      </c>
      <c r="M33" s="1" t="s">
        <v>1243</v>
      </c>
      <c r="N33" s="1"/>
    </row>
    <row r="34" spans="1:14" x14ac:dyDescent="0.2">
      <c r="A34" s="1"/>
      <c r="B34" s="1"/>
      <c r="C34" s="1" t="s">
        <v>995</v>
      </c>
      <c r="D34" s="1"/>
      <c r="E34" s="1"/>
      <c r="F34" s="1"/>
      <c r="G34" s="1"/>
      <c r="H34" s="1"/>
      <c r="I34" s="1"/>
      <c r="J34" s="5" t="e">
        <f>SEARCH("acceptatie",H32)</f>
        <v>#VALUE!</v>
      </c>
      <c r="K34" s="1"/>
      <c r="L34" s="3"/>
      <c r="M34" s="1"/>
      <c r="N34" s="1"/>
    </row>
    <row r="35" spans="1:14" x14ac:dyDescent="0.2">
      <c r="A35" s="1"/>
      <c r="B35" s="82" t="s">
        <v>627</v>
      </c>
      <c r="C35" s="10" t="s">
        <v>995</v>
      </c>
      <c r="D35" s="1"/>
      <c r="E35" s="1"/>
      <c r="F35" s="1"/>
      <c r="G35" s="1"/>
      <c r="H35" s="1"/>
      <c r="I35" s="1"/>
      <c r="J35" s="5">
        <f>ABS(ISERR(J34))</f>
        <v>1</v>
      </c>
      <c r="K35" s="5">
        <f>ABS(IF(J35=0,"1","0"))</f>
        <v>0</v>
      </c>
      <c r="L35" s="3">
        <v>1</v>
      </c>
      <c r="M35" s="1" t="s">
        <v>1242</v>
      </c>
      <c r="N35" s="1"/>
    </row>
    <row r="36" spans="1:14" x14ac:dyDescent="0.2">
      <c r="A36" s="1"/>
      <c r="B36" s="1"/>
      <c r="C36" s="1"/>
      <c r="D36" s="1"/>
      <c r="E36" s="1"/>
      <c r="F36" s="1"/>
      <c r="G36" s="1"/>
      <c r="H36" s="1"/>
      <c r="I36" s="1"/>
      <c r="J36" s="1"/>
      <c r="K36" s="1"/>
      <c r="L36" s="3"/>
      <c r="M36" s="1"/>
      <c r="N36" s="1"/>
    </row>
    <row r="37" spans="1:14" x14ac:dyDescent="0.2">
      <c r="A37" s="14"/>
      <c r="B37" s="14"/>
      <c r="C37" s="14"/>
      <c r="D37" s="14"/>
      <c r="E37" s="14"/>
      <c r="F37" s="14"/>
      <c r="G37" s="14"/>
      <c r="H37" s="14"/>
      <c r="I37" s="14"/>
      <c r="J37" s="1"/>
      <c r="K37" s="1"/>
      <c r="L37" s="3"/>
      <c r="M37" s="1"/>
      <c r="N37" s="1"/>
    </row>
    <row r="38" spans="1:14" x14ac:dyDescent="0.2">
      <c r="A38" s="1"/>
      <c r="B38" s="1"/>
      <c r="C38" s="1"/>
      <c r="D38" s="1"/>
      <c r="E38" s="1"/>
      <c r="F38" s="1"/>
      <c r="G38" s="1"/>
      <c r="H38" s="1"/>
      <c r="I38" s="1"/>
      <c r="J38" s="1"/>
      <c r="K38" s="1"/>
      <c r="L38" s="3"/>
      <c r="M38" s="1"/>
      <c r="N38" s="1"/>
    </row>
    <row r="39" spans="1:14" x14ac:dyDescent="0.2">
      <c r="A39" s="1" t="s">
        <v>1034</v>
      </c>
      <c r="B39" s="1" t="s">
        <v>1245</v>
      </c>
      <c r="C39" s="1"/>
      <c r="D39" s="249" t="str">
        <f>IF(K40=1,"juist geantwoord: BEHOEFTE","")</f>
        <v/>
      </c>
      <c r="E39" s="250"/>
      <c r="F39" s="248" t="s">
        <v>995</v>
      </c>
      <c r="G39" s="47"/>
      <c r="H39" s="1"/>
      <c r="I39" s="1"/>
      <c r="J39" s="5" t="e">
        <f>SEARCH("behoefte",B49)</f>
        <v>#VALUE!</v>
      </c>
      <c r="K39" s="1"/>
      <c r="L39" s="3"/>
      <c r="M39" s="1"/>
      <c r="N39" s="1"/>
    </row>
    <row r="40" spans="1:14" x14ac:dyDescent="0.2">
      <c r="A40" s="1"/>
      <c r="B40" s="67" t="s">
        <v>2697</v>
      </c>
      <c r="C40" s="1"/>
      <c r="D40" s="249" t="str">
        <f>IF(K42=1,"juist geantwoord: BEREIDHEID","")</f>
        <v/>
      </c>
      <c r="E40" s="250"/>
      <c r="F40" s="248" t="s">
        <v>995</v>
      </c>
      <c r="G40" s="47"/>
      <c r="H40" s="1"/>
      <c r="I40" s="1"/>
      <c r="J40" s="5">
        <f>ABS(ISERR(J39))</f>
        <v>1</v>
      </c>
      <c r="K40" s="5">
        <f>ABS(IF(J40=0,"1","0"))</f>
        <v>0</v>
      </c>
      <c r="L40" s="3">
        <v>1</v>
      </c>
      <c r="M40" s="1" t="s">
        <v>1248</v>
      </c>
      <c r="N40" s="1"/>
    </row>
    <row r="41" spans="1:14" x14ac:dyDescent="0.2">
      <c r="A41" s="1"/>
      <c r="B41" s="67" t="s">
        <v>2247</v>
      </c>
      <c r="C41" s="1"/>
      <c r="D41" s="249" t="str">
        <f>IF(K44=1,"juist geantwoord: VERMOGEN","")</f>
        <v/>
      </c>
      <c r="E41" s="250"/>
      <c r="F41" s="248" t="s">
        <v>995</v>
      </c>
      <c r="G41" s="47"/>
      <c r="H41" s="1"/>
      <c r="I41" s="1"/>
      <c r="J41" s="5" t="e">
        <f>SEARCH("bereidheid",B49)</f>
        <v>#VALUE!</v>
      </c>
      <c r="K41" s="1"/>
      <c r="L41" s="3"/>
      <c r="M41" s="1"/>
      <c r="N41" s="1"/>
    </row>
    <row r="42" spans="1:14" x14ac:dyDescent="0.2">
      <c r="A42" s="1"/>
      <c r="B42" s="1" t="s">
        <v>1246</v>
      </c>
      <c r="C42" s="1"/>
      <c r="D42" s="247"/>
      <c r="E42" s="1"/>
      <c r="F42" s="1"/>
      <c r="G42" s="1"/>
      <c r="H42" s="1"/>
      <c r="I42" s="1"/>
      <c r="J42" s="5">
        <f>ABS(ISERR(J41))</f>
        <v>1</v>
      </c>
      <c r="K42" s="5">
        <f>ABS(IF(J42=0,"1","0"))</f>
        <v>0</v>
      </c>
      <c r="L42" s="3">
        <v>1</v>
      </c>
      <c r="M42" s="1" t="s">
        <v>1249</v>
      </c>
      <c r="N42" s="1"/>
    </row>
    <row r="43" spans="1:14" x14ac:dyDescent="0.2">
      <c r="A43" s="1"/>
      <c r="B43" s="1" t="s">
        <v>1254</v>
      </c>
      <c r="C43" s="1"/>
      <c r="D43" s="251" t="str">
        <f>IF(C52="x","Antwoorden:","")</f>
        <v/>
      </c>
      <c r="E43" s="1"/>
      <c r="F43" s="1"/>
      <c r="G43" s="1"/>
      <c r="H43" s="1"/>
      <c r="I43" s="1"/>
      <c r="J43" s="5" t="e">
        <f>SEARCH("vermogen",B49)</f>
        <v>#VALUE!</v>
      </c>
      <c r="K43" s="1"/>
      <c r="L43" s="3"/>
      <c r="M43" s="1"/>
      <c r="N43" s="1"/>
    </row>
    <row r="44" spans="1:14" x14ac:dyDescent="0.2">
      <c r="A44" s="1"/>
      <c r="B44" s="81" t="s">
        <v>2248</v>
      </c>
      <c r="C44" s="1"/>
      <c r="D44" s="251">
        <f>IF(C52="x",M40,)</f>
        <v>0</v>
      </c>
      <c r="E44" s="1"/>
      <c r="F44" s="1"/>
      <c r="G44" s="1"/>
      <c r="H44" s="1"/>
      <c r="I44" s="1"/>
      <c r="J44" s="5">
        <f>ABS(ISERR(J43))</f>
        <v>1</v>
      </c>
      <c r="K44" s="5">
        <f>ABS(IF(J44=0,"1","0"))</f>
        <v>0</v>
      </c>
      <c r="L44" s="3">
        <v>1</v>
      </c>
      <c r="M44" s="1" t="s">
        <v>1250</v>
      </c>
      <c r="N44" s="1"/>
    </row>
    <row r="45" spans="1:14" x14ac:dyDescent="0.2">
      <c r="A45" s="1"/>
      <c r="B45" s="81" t="s">
        <v>2249</v>
      </c>
      <c r="C45" s="1"/>
      <c r="D45" s="251">
        <f>IF(C52="x",M42,)</f>
        <v>0</v>
      </c>
      <c r="E45" s="1"/>
      <c r="F45" s="1"/>
      <c r="G45" s="1"/>
      <c r="H45" s="1"/>
      <c r="I45" s="1"/>
      <c r="J45" s="1"/>
      <c r="K45" s="1"/>
      <c r="L45" s="3"/>
      <c r="M45" s="1"/>
      <c r="N45" s="1"/>
    </row>
    <row r="46" spans="1:14" x14ac:dyDescent="0.2">
      <c r="A46" s="1"/>
      <c r="B46" s="81" t="s">
        <v>1251</v>
      </c>
      <c r="C46" s="1"/>
      <c r="D46" s="251">
        <f>IF(C52="x",M44,)</f>
        <v>0</v>
      </c>
      <c r="E46" s="1"/>
      <c r="F46" s="1"/>
      <c r="G46" s="1"/>
      <c r="H46" s="1"/>
      <c r="I46" s="1"/>
      <c r="J46" s="1"/>
      <c r="K46" s="1"/>
      <c r="L46" s="3"/>
      <c r="M46" s="1"/>
      <c r="N46" s="1"/>
    </row>
    <row r="47" spans="1:14" x14ac:dyDescent="0.2">
      <c r="A47" s="1"/>
      <c r="B47" s="1"/>
      <c r="C47" s="1"/>
      <c r="D47" s="1"/>
      <c r="E47" s="1"/>
      <c r="F47" s="1"/>
      <c r="G47" s="1"/>
      <c r="H47" s="1"/>
      <c r="I47" s="1"/>
      <c r="J47" s="1"/>
      <c r="K47" s="1"/>
      <c r="L47" s="3"/>
      <c r="M47" s="1"/>
      <c r="N47" s="1"/>
    </row>
    <row r="48" spans="1:14" x14ac:dyDescent="0.2">
      <c r="A48" s="1"/>
      <c r="B48" s="1" t="s">
        <v>1247</v>
      </c>
      <c r="C48" s="1"/>
      <c r="D48" s="1"/>
      <c r="E48" s="1"/>
      <c r="F48" s="1"/>
      <c r="G48" s="244" t="s">
        <v>1252</v>
      </c>
      <c r="H48" s="1"/>
      <c r="I48" s="1"/>
      <c r="J48" s="1"/>
      <c r="K48" s="1"/>
      <c r="L48" s="3"/>
      <c r="M48" s="1"/>
      <c r="N48" s="1"/>
    </row>
    <row r="49" spans="1:14" x14ac:dyDescent="0.2">
      <c r="A49" s="1"/>
      <c r="B49" s="491" t="s">
        <v>995</v>
      </c>
      <c r="C49" s="1"/>
      <c r="D49" s="1"/>
      <c r="E49" s="1"/>
      <c r="F49" s="1"/>
      <c r="G49" s="508" t="s">
        <v>1252</v>
      </c>
      <c r="H49" s="1"/>
      <c r="I49" s="1"/>
      <c r="J49" s="1"/>
      <c r="K49" s="1"/>
      <c r="L49" s="3"/>
      <c r="M49" s="1"/>
      <c r="N49" s="1"/>
    </row>
    <row r="50" spans="1:14" x14ac:dyDescent="0.2">
      <c r="A50" s="1"/>
      <c r="B50" s="1" t="s">
        <v>1253</v>
      </c>
      <c r="C50" s="1"/>
      <c r="D50" s="1"/>
      <c r="E50" s="1"/>
      <c r="F50" s="1"/>
      <c r="G50" s="244" t="s">
        <v>1252</v>
      </c>
      <c r="H50" s="1"/>
      <c r="I50" s="1"/>
      <c r="J50" s="1"/>
      <c r="K50" s="1"/>
      <c r="L50" s="3"/>
      <c r="M50" s="5" t="s">
        <v>25</v>
      </c>
      <c r="N50" s="1"/>
    </row>
    <row r="51" spans="1:14" x14ac:dyDescent="0.2">
      <c r="A51" s="1"/>
      <c r="B51" s="1"/>
      <c r="C51" s="1"/>
      <c r="D51" s="1"/>
      <c r="E51" s="1"/>
      <c r="F51" s="1"/>
      <c r="G51" s="1"/>
      <c r="H51" s="1"/>
      <c r="I51" s="1"/>
      <c r="J51" s="1"/>
      <c r="K51" s="1"/>
      <c r="L51" s="3"/>
      <c r="M51" s="5" t="s">
        <v>995</v>
      </c>
      <c r="N51" s="1"/>
    </row>
    <row r="52" spans="1:14" x14ac:dyDescent="0.2">
      <c r="A52" s="1"/>
      <c r="B52" s="82" t="s">
        <v>627</v>
      </c>
      <c r="C52" s="318" t="s">
        <v>995</v>
      </c>
      <c r="D52" s="1"/>
      <c r="E52" s="1"/>
      <c r="F52" s="1"/>
      <c r="H52" s="1"/>
      <c r="I52" s="1"/>
      <c r="J52" s="1"/>
      <c r="K52" s="1"/>
      <c r="L52" s="3"/>
      <c r="M52" s="5">
        <v>0</v>
      </c>
      <c r="N52" s="1"/>
    </row>
    <row r="53" spans="1:14" x14ac:dyDescent="0.2">
      <c r="A53" s="1"/>
      <c r="B53" s="1"/>
      <c r="C53" s="1"/>
      <c r="D53" s="1"/>
      <c r="E53" s="1"/>
      <c r="F53" s="1"/>
      <c r="G53" s="1"/>
      <c r="H53" s="1"/>
      <c r="I53" s="1"/>
      <c r="J53" s="1"/>
      <c r="K53" s="1"/>
      <c r="L53" s="3"/>
      <c r="M53" s="1"/>
      <c r="N53" s="1"/>
    </row>
    <row r="54" spans="1:14" x14ac:dyDescent="0.2">
      <c r="A54" s="14"/>
      <c r="B54" s="14"/>
      <c r="C54" s="14"/>
      <c r="D54" s="14"/>
      <c r="E54" s="14"/>
      <c r="F54" s="14"/>
      <c r="G54" s="14"/>
      <c r="H54" s="14"/>
      <c r="I54" s="14"/>
      <c r="J54" s="1"/>
      <c r="K54" s="1"/>
      <c r="L54" s="3"/>
      <c r="M54" s="1"/>
      <c r="N54" s="1"/>
    </row>
    <row r="55" spans="1:14" x14ac:dyDescent="0.2">
      <c r="A55" s="1"/>
      <c r="B55" s="1"/>
      <c r="C55" s="1"/>
      <c r="D55" s="1"/>
      <c r="E55" s="1"/>
      <c r="F55" s="1"/>
      <c r="G55" s="1"/>
      <c r="H55" s="1"/>
      <c r="I55" s="1"/>
      <c r="J55" s="1"/>
      <c r="K55" s="1"/>
      <c r="L55" s="3"/>
      <c r="M55" s="1"/>
      <c r="N55" s="1"/>
    </row>
    <row r="56" spans="1:14" ht="26.25" thickBot="1" x14ac:dyDescent="0.25">
      <c r="A56" s="1" t="s">
        <v>1038</v>
      </c>
      <c r="B56" s="103" t="s">
        <v>2250</v>
      </c>
      <c r="C56" s="102" t="s">
        <v>446</v>
      </c>
      <c r="D56" s="102" t="s">
        <v>1623</v>
      </c>
      <c r="E56" s="526" t="s">
        <v>2119</v>
      </c>
      <c r="F56" s="527" t="s">
        <v>2120</v>
      </c>
      <c r="G56" s="1"/>
      <c r="H56" s="1"/>
      <c r="I56" s="1"/>
      <c r="J56" s="1"/>
      <c r="K56" s="1"/>
      <c r="L56" s="3"/>
      <c r="M56" s="1"/>
      <c r="N56" s="1"/>
    </row>
    <row r="57" spans="1:14" ht="13.5" thickTop="1" x14ac:dyDescent="0.2">
      <c r="A57" s="1"/>
      <c r="B57" s="2" t="s">
        <v>2251</v>
      </c>
      <c r="C57" s="56" t="s">
        <v>995</v>
      </c>
      <c r="D57" s="56" t="s">
        <v>995</v>
      </c>
      <c r="E57" s="56" t="s">
        <v>995</v>
      </c>
      <c r="F57" s="56" t="s">
        <v>995</v>
      </c>
      <c r="G57" s="1"/>
      <c r="H57" s="1"/>
      <c r="I57" s="1"/>
      <c r="J57" s="1"/>
      <c r="K57" s="1"/>
      <c r="L57" s="3"/>
      <c r="M57" s="1"/>
      <c r="N57" s="1"/>
    </row>
    <row r="58" spans="1:14" x14ac:dyDescent="0.2">
      <c r="A58" s="1"/>
      <c r="B58" s="61" t="s">
        <v>2252</v>
      </c>
      <c r="C58" s="3" t="s">
        <v>475</v>
      </c>
      <c r="D58" s="3" t="s">
        <v>476</v>
      </c>
      <c r="E58" s="3" t="s">
        <v>477</v>
      </c>
      <c r="F58" s="3" t="s">
        <v>478</v>
      </c>
      <c r="G58" s="1"/>
      <c r="H58" s="1"/>
      <c r="I58" s="1"/>
      <c r="J58" s="5" t="str">
        <f>IF(C57="x","JUIST","")</f>
        <v/>
      </c>
      <c r="K58" s="5">
        <f>ABS(IF(J58="JUIST","1","0"))</f>
        <v>0</v>
      </c>
      <c r="L58" s="3">
        <v>1</v>
      </c>
      <c r="M58" s="1" t="s">
        <v>475</v>
      </c>
      <c r="N58" s="1"/>
    </row>
    <row r="59" spans="1:14" x14ac:dyDescent="0.2">
      <c r="A59" s="1"/>
      <c r="B59" s="1" t="s">
        <v>1255</v>
      </c>
      <c r="C59" s="1"/>
      <c r="D59" s="1"/>
      <c r="E59" s="1"/>
      <c r="F59" s="1"/>
      <c r="G59" s="1"/>
      <c r="H59" s="1"/>
      <c r="I59" s="1"/>
      <c r="J59" s="5" t="str">
        <f>IF(D57="x","FOUT","")</f>
        <v/>
      </c>
      <c r="K59" s="5">
        <f>ABS(IF(J59="JUIST","1","0"))</f>
        <v>0</v>
      </c>
      <c r="L59" s="3"/>
      <c r="M59" s="1"/>
      <c r="N59" s="1"/>
    </row>
    <row r="60" spans="1:14" x14ac:dyDescent="0.2">
      <c r="A60" s="1"/>
      <c r="B60" s="1" t="s">
        <v>2253</v>
      </c>
      <c r="C60" s="1"/>
      <c r="D60" s="1"/>
      <c r="E60" s="1"/>
      <c r="F60" s="1"/>
      <c r="G60" s="1"/>
      <c r="H60" s="1"/>
      <c r="I60" s="1"/>
      <c r="J60" s="5" t="str">
        <f>IF(E57="x","FOUT","")</f>
        <v/>
      </c>
      <c r="K60" s="5">
        <f>ABS(IF(J60="JUIST","1","0"))</f>
        <v>0</v>
      </c>
      <c r="L60" s="3"/>
      <c r="M60" s="1"/>
      <c r="N60" s="1"/>
    </row>
    <row r="61" spans="1:14" x14ac:dyDescent="0.2">
      <c r="A61" s="1"/>
      <c r="B61" s="80" t="s">
        <v>333</v>
      </c>
      <c r="C61" s="1"/>
      <c r="D61" s="1"/>
      <c r="E61" s="79"/>
      <c r="F61" s="1"/>
      <c r="G61" s="1"/>
      <c r="H61" s="1"/>
      <c r="I61" s="1"/>
      <c r="J61" s="5" t="str">
        <f>IF(F57="x","FOUT","")</f>
        <v/>
      </c>
      <c r="K61" s="5">
        <f>ABS(IF(J61="JUIST","1","0"))</f>
        <v>0</v>
      </c>
      <c r="L61" s="3"/>
      <c r="M61" s="1"/>
      <c r="N61" s="1"/>
    </row>
    <row r="62" spans="1:14" x14ac:dyDescent="0.2">
      <c r="A62" s="1"/>
      <c r="B62" s="81" t="s">
        <v>895</v>
      </c>
      <c r="C62" s="1"/>
      <c r="D62" s="1"/>
      <c r="E62" s="79"/>
      <c r="F62" s="1"/>
      <c r="G62" s="1"/>
      <c r="H62" s="1"/>
      <c r="I62" s="1"/>
      <c r="J62" s="79" t="s">
        <v>995</v>
      </c>
      <c r="K62" s="1"/>
      <c r="L62" s="3"/>
      <c r="M62" s="1"/>
      <c r="N62" s="1"/>
    </row>
    <row r="63" spans="1:14" x14ac:dyDescent="0.2">
      <c r="A63" s="1"/>
      <c r="B63" s="1"/>
      <c r="C63" s="1"/>
      <c r="D63" s="1"/>
      <c r="E63" s="79"/>
      <c r="F63" s="1"/>
      <c r="G63" s="1"/>
      <c r="H63" s="1"/>
      <c r="I63" s="1"/>
      <c r="K63" s="1"/>
      <c r="L63" s="3"/>
      <c r="M63" s="1"/>
      <c r="N63" s="1"/>
    </row>
    <row r="64" spans="1:14" x14ac:dyDescent="0.2">
      <c r="A64" s="1"/>
      <c r="B64" s="82" t="s">
        <v>1033</v>
      </c>
      <c r="C64" s="318" t="s">
        <v>995</v>
      </c>
      <c r="D64" s="1"/>
      <c r="E64" s="286"/>
      <c r="F64" s="1"/>
      <c r="G64" s="1"/>
      <c r="H64" s="1"/>
      <c r="I64" s="1"/>
      <c r="J64" s="1"/>
      <c r="K64" s="1"/>
      <c r="L64" s="3"/>
      <c r="M64" s="1"/>
      <c r="N64" s="1"/>
    </row>
    <row r="65" spans="1:14" ht="26.25" customHeight="1" x14ac:dyDescent="0.2">
      <c r="A65" s="1"/>
      <c r="B65" s="264" t="str">
        <f>J65</f>
        <v/>
      </c>
      <c r="C65" s="1"/>
      <c r="D65" s="1"/>
      <c r="E65" s="1"/>
      <c r="F65" s="1"/>
      <c r="G65" s="1"/>
      <c r="H65" s="1"/>
      <c r="I65" s="1"/>
      <c r="J65" s="73" t="str">
        <f>IF(C64="x","Het juiste antwoord is: A (stelling 2 is een valstrik-vraag vanwege het woordje 'kan'!).","")</f>
        <v/>
      </c>
      <c r="K65" s="1"/>
      <c r="L65" s="3"/>
      <c r="M65" s="1"/>
      <c r="N65" s="1"/>
    </row>
    <row r="66" spans="1:14" x14ac:dyDescent="0.2">
      <c r="A66" s="14"/>
      <c r="B66" s="14"/>
      <c r="C66" s="14"/>
      <c r="D66" s="14"/>
      <c r="E66" s="14"/>
      <c r="F66" s="14"/>
      <c r="G66" s="14"/>
      <c r="H66" s="14"/>
      <c r="I66" s="14"/>
      <c r="J66" s="1"/>
      <c r="K66" s="1"/>
      <c r="L66" s="3"/>
      <c r="M66" s="1"/>
      <c r="N66" s="1"/>
    </row>
    <row r="67" spans="1:14" x14ac:dyDescent="0.2">
      <c r="A67" s="1"/>
      <c r="B67" s="1"/>
      <c r="C67" s="1"/>
      <c r="D67" s="1"/>
      <c r="E67" s="1"/>
      <c r="F67" s="1"/>
      <c r="G67" s="1"/>
      <c r="H67" s="1"/>
      <c r="I67" s="1"/>
      <c r="J67" s="5" t="e">
        <f>SEARCH("Attitude",G71)</f>
        <v>#VALUE!</v>
      </c>
      <c r="K67" s="1"/>
      <c r="L67" s="3"/>
      <c r="M67" s="1"/>
      <c r="N67" s="1"/>
    </row>
    <row r="68" spans="1:14" x14ac:dyDescent="0.2">
      <c r="A68" s="1" t="s">
        <v>860</v>
      </c>
      <c r="B68" s="1" t="s">
        <v>856</v>
      </c>
      <c r="C68" s="1"/>
      <c r="D68" s="1"/>
      <c r="E68" s="1"/>
      <c r="F68" s="12" t="s">
        <v>848</v>
      </c>
      <c r="G68" s="12" t="s">
        <v>850</v>
      </c>
      <c r="H68" s="12" t="s">
        <v>852</v>
      </c>
      <c r="I68" s="1"/>
      <c r="J68" s="5">
        <f>ABS(ISERR(J67))</f>
        <v>1</v>
      </c>
      <c r="K68" s="5">
        <f>ABS(IF(J68=0,"1","0"))</f>
        <v>0</v>
      </c>
      <c r="L68" s="3">
        <v>1</v>
      </c>
      <c r="M68" s="1"/>
      <c r="N68" s="1"/>
    </row>
    <row r="69" spans="1:14" ht="13.5" thickBot="1" x14ac:dyDescent="0.25">
      <c r="A69" s="1"/>
      <c r="B69" s="67" t="s">
        <v>2696</v>
      </c>
      <c r="C69" s="1"/>
      <c r="D69" s="1"/>
      <c r="E69" s="1"/>
      <c r="F69" s="87" t="s">
        <v>849</v>
      </c>
      <c r="G69" s="87" t="s">
        <v>851</v>
      </c>
      <c r="H69" s="87" t="s">
        <v>853</v>
      </c>
      <c r="I69" s="1"/>
      <c r="J69" s="5" t="e">
        <f>SEARCH("houding",G71)</f>
        <v>#VALUE!</v>
      </c>
      <c r="K69" s="1"/>
      <c r="L69" s="3"/>
      <c r="M69" s="1"/>
      <c r="N69" s="1"/>
    </row>
    <row r="70" spans="1:14" ht="51.75" thickTop="1" x14ac:dyDescent="0.2">
      <c r="A70" s="1"/>
      <c r="B70" s="263" t="s">
        <v>840</v>
      </c>
      <c r="C70" s="1"/>
      <c r="D70" s="1"/>
      <c r="E70" s="272" t="s">
        <v>1010</v>
      </c>
      <c r="F70" s="269" t="s">
        <v>841</v>
      </c>
      <c r="G70" s="509" t="s">
        <v>1021</v>
      </c>
      <c r="H70" s="268" t="s">
        <v>854</v>
      </c>
      <c r="I70" s="1"/>
      <c r="J70" s="5">
        <f>ABS(ISERR(J69))</f>
        <v>1</v>
      </c>
      <c r="K70" s="5">
        <f>ABS(IF(J70=0,"1","0"))</f>
        <v>0</v>
      </c>
      <c r="L70" s="3"/>
      <c r="M70" s="1"/>
      <c r="N70" s="1"/>
    </row>
    <row r="71" spans="1:14" ht="38.25" x14ac:dyDescent="0.2">
      <c r="A71" s="1"/>
      <c r="B71" s="1"/>
      <c r="C71" s="1"/>
      <c r="D71" s="1"/>
      <c r="E71" s="273" t="s">
        <v>843</v>
      </c>
      <c r="F71" s="270" t="s">
        <v>842</v>
      </c>
      <c r="G71" s="24" t="s">
        <v>995</v>
      </c>
      <c r="H71" s="267" t="s">
        <v>846</v>
      </c>
      <c r="I71" s="1"/>
      <c r="J71" s="5" t="e">
        <f>SEARCH("vertaalslag",G71)</f>
        <v>#VALUE!</v>
      </c>
      <c r="K71" s="1"/>
      <c r="L71" s="3"/>
      <c r="M71" s="1"/>
      <c r="N71" s="1"/>
    </row>
    <row r="72" spans="1:14" ht="25.5" x14ac:dyDescent="0.2">
      <c r="A72" s="1"/>
      <c r="B72" s="274" t="s">
        <v>1033</v>
      </c>
      <c r="C72" s="442" t="s">
        <v>995</v>
      </c>
      <c r="D72" s="1"/>
      <c r="E72" s="273" t="s">
        <v>844</v>
      </c>
      <c r="F72" s="271" t="s">
        <v>845</v>
      </c>
      <c r="G72" s="267" t="s">
        <v>855</v>
      </c>
      <c r="H72" s="36" t="s">
        <v>847</v>
      </c>
      <c r="I72" s="1"/>
      <c r="J72" s="5">
        <f>ABS(ISERR(J71))</f>
        <v>1</v>
      </c>
      <c r="K72" s="5">
        <f>ABS(IF(J72=0,"0,5","0"))</f>
        <v>0</v>
      </c>
      <c r="L72" s="3"/>
      <c r="M72" s="1"/>
      <c r="N72" s="1"/>
    </row>
    <row r="73" spans="1:14" ht="15.6" customHeight="1" x14ac:dyDescent="0.2">
      <c r="A73" s="1"/>
      <c r="B73" s="264" t="str">
        <f>J74</f>
        <v/>
      </c>
      <c r="C73" s="1"/>
      <c r="D73" s="1"/>
      <c r="E73" s="1"/>
      <c r="F73" s="1"/>
      <c r="G73" s="1"/>
      <c r="H73" s="1"/>
      <c r="I73" s="1"/>
      <c r="J73" s="79"/>
      <c r="K73" s="18"/>
      <c r="L73" s="3"/>
      <c r="M73" s="1"/>
      <c r="N73" s="1"/>
    </row>
    <row r="74" spans="1:14" x14ac:dyDescent="0.2">
      <c r="A74" s="1"/>
      <c r="B74" s="1"/>
      <c r="C74" s="1"/>
      <c r="D74" s="1"/>
      <c r="E74" s="1"/>
      <c r="F74" s="1"/>
      <c r="G74" s="1"/>
      <c r="H74" s="1"/>
      <c r="I74" s="1"/>
      <c r="J74" s="73" t="str">
        <f>IF(C72="x","Attitude, houding ('vertaalslag' maken: bereidheid &lt;&gt; bedrijfscultuur).","")</f>
        <v/>
      </c>
      <c r="K74" s="79"/>
      <c r="L74" s="3"/>
      <c r="M74" s="1"/>
      <c r="N74" s="1"/>
    </row>
    <row r="75" spans="1:14" x14ac:dyDescent="0.2">
      <c r="A75" s="14"/>
      <c r="B75" s="14"/>
      <c r="C75" s="14"/>
      <c r="D75" s="14"/>
      <c r="E75" s="14"/>
      <c r="F75" s="14"/>
      <c r="G75" s="14"/>
      <c r="H75" s="14"/>
      <c r="I75" s="14"/>
      <c r="J75" s="1"/>
      <c r="K75" s="1"/>
      <c r="L75" s="3"/>
      <c r="M75" s="1"/>
      <c r="N75" s="1"/>
    </row>
    <row r="76" spans="1:14" x14ac:dyDescent="0.2">
      <c r="A76" s="1"/>
      <c r="B76" s="1"/>
      <c r="C76" s="1"/>
      <c r="D76" s="1"/>
      <c r="E76" s="1"/>
      <c r="F76" s="1"/>
      <c r="G76" s="1"/>
      <c r="H76" s="1"/>
      <c r="I76" s="1"/>
      <c r="J76" s="1"/>
      <c r="K76" s="1"/>
      <c r="L76" s="3"/>
      <c r="M76" s="1"/>
      <c r="N76" s="1"/>
    </row>
    <row r="77" spans="1:14" x14ac:dyDescent="0.2">
      <c r="A77" s="25" t="s">
        <v>861</v>
      </c>
      <c r="B77" s="2" t="s">
        <v>60</v>
      </c>
      <c r="C77" s="1"/>
      <c r="D77" s="598" t="s">
        <v>2779</v>
      </c>
      <c r="E77" s="276" t="s">
        <v>1248</v>
      </c>
      <c r="F77" s="318" t="s">
        <v>995</v>
      </c>
      <c r="G77" s="275" t="s">
        <v>995</v>
      </c>
      <c r="H77" s="3" t="s">
        <v>995</v>
      </c>
      <c r="I77" s="1"/>
      <c r="J77" s="5" t="str">
        <f>IF(F77="x","JUIST","")</f>
        <v/>
      </c>
      <c r="K77" s="5">
        <f>ABS(IF(J77="JUIST","1","0"))</f>
        <v>0</v>
      </c>
      <c r="L77" s="3">
        <v>1</v>
      </c>
      <c r="M77" s="1"/>
      <c r="N77" s="1"/>
    </row>
    <row r="78" spans="1:14" x14ac:dyDescent="0.2">
      <c r="A78" s="1"/>
      <c r="B78" s="1" t="s">
        <v>61</v>
      </c>
      <c r="C78" s="1"/>
      <c r="D78" s="598" t="s">
        <v>2780</v>
      </c>
      <c r="E78" s="110" t="s">
        <v>1249</v>
      </c>
      <c r="F78" s="318" t="s">
        <v>995</v>
      </c>
      <c r="G78" s="1"/>
      <c r="H78" s="1"/>
      <c r="I78" s="1"/>
      <c r="J78" s="5" t="str">
        <f>IF(F78="x","FOUT","")</f>
        <v/>
      </c>
      <c r="K78" s="5">
        <f>ABS(IF(J78="JUIST","1","0"))</f>
        <v>0</v>
      </c>
      <c r="L78" s="3"/>
      <c r="M78" s="1"/>
      <c r="N78" s="1"/>
    </row>
    <row r="79" spans="1:14" x14ac:dyDescent="0.2">
      <c r="A79" s="1"/>
      <c r="B79" s="1" t="s">
        <v>62</v>
      </c>
      <c r="C79" s="1"/>
      <c r="D79" s="598" t="s">
        <v>2781</v>
      </c>
      <c r="E79" s="110" t="s">
        <v>1250</v>
      </c>
      <c r="F79" s="318" t="s">
        <v>995</v>
      </c>
      <c r="G79" s="1"/>
      <c r="H79" s="1"/>
      <c r="I79" s="1"/>
      <c r="J79" s="5" t="str">
        <f>IF(F79="x","FOUT","")</f>
        <v/>
      </c>
      <c r="K79" s="5">
        <f>ABS(IF(J79="JUIST","1","0"))</f>
        <v>0</v>
      </c>
      <c r="L79" s="3"/>
      <c r="M79" s="1"/>
      <c r="N79" s="1"/>
    </row>
    <row r="80" spans="1:14" x14ac:dyDescent="0.2">
      <c r="A80" s="1"/>
      <c r="B80" s="1" t="s">
        <v>2254</v>
      </c>
      <c r="C80" s="1"/>
      <c r="D80" s="1"/>
      <c r="E80" s="1"/>
      <c r="F80" s="1"/>
      <c r="G80" s="1"/>
      <c r="H80" s="1"/>
      <c r="I80" s="1"/>
      <c r="J80" s="1"/>
      <c r="K80" s="1"/>
      <c r="L80" s="3"/>
      <c r="M80" s="1"/>
      <c r="N80" s="1"/>
    </row>
    <row r="81" spans="1:14" x14ac:dyDescent="0.2">
      <c r="A81" s="1"/>
      <c r="B81" s="81" t="s">
        <v>350</v>
      </c>
      <c r="C81" s="1"/>
      <c r="D81" s="1"/>
      <c r="E81" s="1"/>
      <c r="F81" s="1"/>
      <c r="G81" s="1"/>
      <c r="H81" s="1"/>
      <c r="I81" s="1"/>
      <c r="J81" s="1"/>
      <c r="K81" s="1"/>
      <c r="L81" s="3"/>
      <c r="M81" s="1"/>
      <c r="N81" s="1"/>
    </row>
    <row r="82" spans="1:14" x14ac:dyDescent="0.2">
      <c r="A82" s="1"/>
      <c r="B82" s="1"/>
      <c r="C82" s="1"/>
      <c r="D82" s="1"/>
      <c r="E82" s="1"/>
      <c r="F82" s="1"/>
      <c r="G82" s="1"/>
      <c r="H82" s="1"/>
      <c r="I82" s="1"/>
      <c r="J82" s="1"/>
      <c r="K82" s="1"/>
      <c r="L82" s="3"/>
      <c r="M82" s="1"/>
      <c r="N82" s="1"/>
    </row>
    <row r="83" spans="1:14" x14ac:dyDescent="0.2">
      <c r="A83" s="1"/>
      <c r="B83" s="82" t="s">
        <v>1033</v>
      </c>
      <c r="C83" s="318" t="s">
        <v>995</v>
      </c>
      <c r="D83" s="1"/>
      <c r="E83" s="1"/>
      <c r="F83" s="1"/>
      <c r="G83" s="1"/>
      <c r="H83" s="1"/>
      <c r="I83" s="1"/>
      <c r="J83" s="1"/>
      <c r="K83" s="1"/>
      <c r="L83" s="3"/>
      <c r="M83" s="1"/>
      <c r="N83" s="1"/>
    </row>
    <row r="84" spans="1:14" x14ac:dyDescent="0.2">
      <c r="A84" s="1"/>
      <c r="B84" s="52" t="str">
        <f>J84</f>
        <v/>
      </c>
      <c r="C84" s="198"/>
      <c r="D84" s="1"/>
      <c r="E84" s="1"/>
      <c r="F84" s="1"/>
      <c r="G84" s="1"/>
      <c r="H84" s="1"/>
      <c r="I84" s="1"/>
      <c r="J84" s="73" t="str">
        <f>IF(C83="x","Het juiste antwoord is: A (B is - helaas - niet helemaal juist)","")</f>
        <v/>
      </c>
      <c r="K84" s="1"/>
      <c r="L84" s="3"/>
      <c r="M84" s="1"/>
      <c r="N84" s="1"/>
    </row>
    <row r="85" spans="1:14" x14ac:dyDescent="0.2">
      <c r="A85" s="14"/>
      <c r="B85" s="14"/>
      <c r="C85" s="14"/>
      <c r="D85" s="180"/>
      <c r="E85" s="14"/>
      <c r="F85" s="14"/>
      <c r="G85" s="14"/>
      <c r="H85" s="14"/>
      <c r="I85" s="14"/>
      <c r="J85" s="1"/>
      <c r="K85" s="1"/>
      <c r="L85" s="3"/>
      <c r="M85" s="1"/>
      <c r="N85" s="1"/>
    </row>
    <row r="86" spans="1:14" x14ac:dyDescent="0.2">
      <c r="A86" s="1"/>
      <c r="B86" s="1"/>
      <c r="C86" s="1"/>
      <c r="D86" s="1"/>
      <c r="E86" s="1"/>
      <c r="F86" s="1"/>
      <c r="G86" s="1"/>
      <c r="H86" s="1"/>
      <c r="I86" s="1"/>
      <c r="J86" s="1"/>
      <c r="K86" s="1"/>
      <c r="L86" s="3"/>
      <c r="M86" s="1"/>
      <c r="N86" s="1"/>
    </row>
    <row r="87" spans="1:14" ht="26.25" thickBot="1" x14ac:dyDescent="0.25">
      <c r="A87" s="1" t="s">
        <v>862</v>
      </c>
      <c r="B87" s="103" t="s">
        <v>2255</v>
      </c>
      <c r="C87" s="102" t="s">
        <v>446</v>
      </c>
      <c r="D87" s="102" t="s">
        <v>1623</v>
      </c>
      <c r="E87" s="526" t="s">
        <v>2119</v>
      </c>
      <c r="F87" s="527" t="s">
        <v>2120</v>
      </c>
      <c r="G87" s="1"/>
      <c r="H87" s="1"/>
      <c r="I87" s="1"/>
      <c r="J87" s="1"/>
      <c r="K87" s="1"/>
      <c r="L87" s="3"/>
      <c r="M87" s="3"/>
      <c r="N87" s="1"/>
    </row>
    <row r="88" spans="1:14" ht="13.5" thickTop="1" x14ac:dyDescent="0.2">
      <c r="A88" s="1"/>
      <c r="B88" s="2" t="s">
        <v>2256</v>
      </c>
      <c r="C88" s="56">
        <v>0</v>
      </c>
      <c r="D88" s="56">
        <v>0</v>
      </c>
      <c r="E88" s="56">
        <v>0</v>
      </c>
      <c r="F88" s="56">
        <v>0</v>
      </c>
      <c r="G88" s="1"/>
      <c r="H88" s="1"/>
      <c r="I88" s="1"/>
      <c r="J88" s="1"/>
      <c r="K88" s="1"/>
      <c r="M88" s="3"/>
      <c r="N88" s="1"/>
    </row>
    <row r="89" spans="1:14" x14ac:dyDescent="0.2">
      <c r="A89" s="1"/>
      <c r="B89" s="61" t="s">
        <v>2639</v>
      </c>
      <c r="C89" s="3" t="s">
        <v>475</v>
      </c>
      <c r="D89" s="3" t="s">
        <v>476</v>
      </c>
      <c r="E89" s="3" t="s">
        <v>477</v>
      </c>
      <c r="F89" s="3" t="s">
        <v>478</v>
      </c>
      <c r="G89" s="1"/>
      <c r="H89" s="1"/>
      <c r="I89" s="1"/>
      <c r="J89" s="5" t="str">
        <f>IF(C88="x","FOUT","")</f>
        <v/>
      </c>
      <c r="K89" s="5">
        <f>ABS(IF(J89="JUIST","1","0"))</f>
        <v>0</v>
      </c>
      <c r="L89" s="3" t="s">
        <v>995</v>
      </c>
      <c r="M89" s="3"/>
      <c r="N89" s="1"/>
    </row>
    <row r="90" spans="1:14" x14ac:dyDescent="0.2">
      <c r="A90" s="1"/>
      <c r="B90" s="1" t="s">
        <v>2640</v>
      </c>
      <c r="C90" s="1"/>
      <c r="D90" s="1"/>
      <c r="E90" s="1"/>
      <c r="F90" s="1"/>
      <c r="G90" s="1"/>
      <c r="H90" s="1"/>
      <c r="I90" s="1"/>
      <c r="J90" s="5" t="str">
        <f>IF(D88="x","FOUT","")</f>
        <v/>
      </c>
      <c r="K90" s="5">
        <f>ABS(IF(J90="JUIST","1","0"))</f>
        <v>0</v>
      </c>
      <c r="L90" s="3" t="s">
        <v>995</v>
      </c>
      <c r="M90" s="3"/>
      <c r="N90" s="1"/>
    </row>
    <row r="91" spans="1:14" x14ac:dyDescent="0.2">
      <c r="A91" s="1"/>
      <c r="B91" s="1"/>
      <c r="C91" s="1"/>
      <c r="D91" s="1"/>
      <c r="E91" s="1"/>
      <c r="F91" s="1"/>
      <c r="G91" s="1"/>
      <c r="H91" s="1"/>
      <c r="I91" s="1"/>
      <c r="J91" s="5" t="str">
        <f>IF(E88="x","JUIST","")</f>
        <v/>
      </c>
      <c r="K91" s="5">
        <f>ABS(IF(J91="JUIST","1","0"))</f>
        <v>0</v>
      </c>
      <c r="L91" s="3">
        <v>1</v>
      </c>
      <c r="M91" s="3" t="s">
        <v>477</v>
      </c>
      <c r="N91" s="1"/>
    </row>
    <row r="92" spans="1:14" x14ac:dyDescent="0.2">
      <c r="A92" s="1"/>
      <c r="B92" s="80" t="s">
        <v>333</v>
      </c>
      <c r="C92" s="1"/>
      <c r="D92" s="1"/>
      <c r="E92" s="1"/>
      <c r="F92" s="1"/>
      <c r="G92" s="1"/>
      <c r="H92" s="1"/>
      <c r="I92" s="1"/>
      <c r="J92" s="5" t="str">
        <f>IF(F88="x","FOUT","")</f>
        <v/>
      </c>
      <c r="K92" s="5">
        <f>ABS(IF(J92="JUIST","1","0"))</f>
        <v>0</v>
      </c>
      <c r="L92" s="3" t="s">
        <v>995</v>
      </c>
      <c r="M92" s="3"/>
      <c r="N92" s="1"/>
    </row>
    <row r="93" spans="1:14" x14ac:dyDescent="0.2">
      <c r="A93" s="1"/>
      <c r="B93" s="81" t="s">
        <v>895</v>
      </c>
      <c r="C93" s="1"/>
      <c r="D93" s="1"/>
      <c r="E93" s="1"/>
      <c r="G93" s="1"/>
      <c r="H93" s="1"/>
      <c r="I93" s="1"/>
      <c r="J93" s="79" t="s">
        <v>995</v>
      </c>
      <c r="K93" s="1"/>
      <c r="L93" s="3"/>
      <c r="M93" s="5" t="s">
        <v>25</v>
      </c>
      <c r="N93" s="1"/>
    </row>
    <row r="94" spans="1:14" x14ac:dyDescent="0.2">
      <c r="A94" s="1"/>
      <c r="B94" s="1"/>
      <c r="C94" s="1"/>
      <c r="D94" s="1"/>
      <c r="E94" s="1"/>
      <c r="F94" s="79"/>
      <c r="G94" s="1"/>
      <c r="H94" s="1"/>
      <c r="I94" s="1"/>
      <c r="K94" s="1"/>
      <c r="L94" s="3"/>
      <c r="M94" s="5">
        <v>0</v>
      </c>
      <c r="N94" s="1"/>
    </row>
    <row r="95" spans="1:14" x14ac:dyDescent="0.2">
      <c r="A95" s="1"/>
      <c r="B95" s="82" t="s">
        <v>1033</v>
      </c>
      <c r="C95" s="318" t="s">
        <v>995</v>
      </c>
      <c r="D95" s="1"/>
      <c r="E95" s="171" t="s">
        <v>1091</v>
      </c>
      <c r="F95" s="252"/>
      <c r="G95" s="1"/>
      <c r="H95" s="1"/>
      <c r="I95" s="1"/>
      <c r="J95" s="1"/>
      <c r="K95" s="1"/>
      <c r="L95" s="3"/>
      <c r="M95" s="5">
        <v>0</v>
      </c>
      <c r="N95" s="1"/>
    </row>
    <row r="96" spans="1:14" x14ac:dyDescent="0.2">
      <c r="A96" s="1"/>
      <c r="B96" s="52" t="str">
        <f>J96</f>
        <v/>
      </c>
      <c r="C96" s="1"/>
      <c r="D96" s="1"/>
      <c r="E96" s="1"/>
      <c r="F96" s="1"/>
      <c r="G96" s="1"/>
      <c r="H96" s="1"/>
      <c r="I96" s="1"/>
      <c r="J96" s="73" t="str">
        <f>IF(C95="x","Het juiste antwoord is: C","")</f>
        <v/>
      </c>
      <c r="K96" s="1"/>
      <c r="L96" s="3"/>
      <c r="M96" s="3"/>
      <c r="N96" s="1"/>
    </row>
    <row r="97" spans="1:14" x14ac:dyDescent="0.2">
      <c r="A97" s="14"/>
      <c r="B97" s="14"/>
      <c r="C97" s="14"/>
      <c r="D97" s="180"/>
      <c r="E97" s="14"/>
      <c r="F97" s="14"/>
      <c r="G97" s="14"/>
      <c r="H97" s="14"/>
      <c r="I97" s="14"/>
      <c r="J97" s="1"/>
      <c r="K97" s="1"/>
      <c r="L97" s="3"/>
      <c r="M97" s="1"/>
      <c r="N97" s="1"/>
    </row>
    <row r="98" spans="1:14" x14ac:dyDescent="0.2">
      <c r="A98" s="1"/>
      <c r="B98" s="1"/>
      <c r="C98" s="1"/>
      <c r="D98" s="1"/>
      <c r="E98" s="1"/>
      <c r="F98" s="1"/>
      <c r="G98" s="1"/>
      <c r="H98" s="1"/>
      <c r="I98" s="1"/>
      <c r="J98" s="1"/>
      <c r="K98" s="1"/>
      <c r="L98" s="3"/>
      <c r="M98" s="1"/>
      <c r="N98" s="1"/>
    </row>
    <row r="99" spans="1:14" x14ac:dyDescent="0.2">
      <c r="A99" s="1" t="s">
        <v>870</v>
      </c>
      <c r="B99" s="1" t="s">
        <v>1705</v>
      </c>
      <c r="C99" s="1"/>
      <c r="D99" s="277"/>
      <c r="E99" s="287" t="s">
        <v>1707</v>
      </c>
      <c r="F99" s="279"/>
      <c r="G99" s="1"/>
      <c r="H99" s="1"/>
      <c r="I99" s="1"/>
      <c r="J99" s="5" t="e">
        <f>SEARCH("Beloning",E103)</f>
        <v>#VALUE!</v>
      </c>
      <c r="K99" s="1"/>
      <c r="L99" s="3"/>
      <c r="M99" s="1"/>
      <c r="N99" s="1"/>
    </row>
    <row r="100" spans="1:14" x14ac:dyDescent="0.2">
      <c r="A100" s="1"/>
      <c r="B100" s="1" t="s">
        <v>2257</v>
      </c>
      <c r="C100" s="1"/>
      <c r="D100" s="277"/>
      <c r="E100" s="287" t="s">
        <v>1708</v>
      </c>
      <c r="F100" s="279"/>
      <c r="G100" s="1"/>
      <c r="H100" s="1"/>
      <c r="I100" s="1"/>
      <c r="J100" s="5">
        <f>ABS(ISERR(J99))</f>
        <v>1</v>
      </c>
      <c r="K100" s="5">
        <f>ABS(IF(J100=0,"1","0"))</f>
        <v>0</v>
      </c>
      <c r="L100" s="3">
        <v>1</v>
      </c>
      <c r="M100" s="1"/>
      <c r="N100" s="1"/>
    </row>
    <row r="101" spans="1:14" x14ac:dyDescent="0.2">
      <c r="A101" s="1"/>
      <c r="B101" s="1" t="s">
        <v>1712</v>
      </c>
      <c r="C101" s="1"/>
      <c r="D101" s="277"/>
      <c r="E101" s="278" t="s">
        <v>1706</v>
      </c>
      <c r="F101" s="279"/>
      <c r="G101" s="1"/>
      <c r="H101" s="1"/>
      <c r="I101" s="1"/>
      <c r="J101" s="5" t="e">
        <f>SEARCH("Personeelszorg",E106)</f>
        <v>#VALUE!</v>
      </c>
      <c r="K101" s="1"/>
      <c r="L101" s="3"/>
      <c r="M101" s="1"/>
      <c r="N101" s="1"/>
    </row>
    <row r="102" spans="1:14" x14ac:dyDescent="0.2">
      <c r="A102" s="1"/>
      <c r="B102" s="1" t="s">
        <v>1713</v>
      </c>
      <c r="C102" s="1"/>
      <c r="D102" s="277"/>
      <c r="E102" s="287" t="s">
        <v>1709</v>
      </c>
      <c r="F102" s="279"/>
      <c r="G102" s="1"/>
      <c r="H102" s="1"/>
      <c r="I102" s="1"/>
      <c r="J102" s="5">
        <f>ABS(ISERR(J101))</f>
        <v>1</v>
      </c>
      <c r="K102" s="5">
        <f>ABS(IF(J102=0,"1","0"))</f>
        <v>0</v>
      </c>
      <c r="L102" s="3">
        <v>1</v>
      </c>
      <c r="M102" s="1"/>
      <c r="N102" s="1"/>
    </row>
    <row r="103" spans="1:14" x14ac:dyDescent="0.2">
      <c r="A103" s="1"/>
      <c r="B103" s="1" t="s">
        <v>2258</v>
      </c>
      <c r="C103" s="1"/>
      <c r="D103" s="280"/>
      <c r="E103" s="152">
        <v>0</v>
      </c>
      <c r="F103" s="279"/>
      <c r="G103" s="1"/>
      <c r="H103" s="1"/>
      <c r="I103" s="1"/>
      <c r="J103" s="5" t="e">
        <f>SEARCH("Uitstroom",E107)</f>
        <v>#VALUE!</v>
      </c>
      <c r="K103" s="1"/>
      <c r="L103" s="3"/>
      <c r="M103" s="1"/>
      <c r="N103" s="1"/>
    </row>
    <row r="104" spans="1:14" x14ac:dyDescent="0.2">
      <c r="A104" s="1"/>
      <c r="B104" s="1"/>
      <c r="C104" s="1"/>
      <c r="D104" s="277"/>
      <c r="E104" s="287" t="s">
        <v>1710</v>
      </c>
      <c r="F104" s="279"/>
      <c r="G104" s="1"/>
      <c r="H104" s="1"/>
      <c r="I104" s="1"/>
      <c r="J104" s="5">
        <f>ABS(ISERR(J103))</f>
        <v>1</v>
      </c>
      <c r="K104" s="5">
        <f>ABS(IF(J104=0,"1","0"))</f>
        <v>0</v>
      </c>
      <c r="L104" s="3">
        <v>1</v>
      </c>
      <c r="M104" s="1"/>
      <c r="N104" s="1"/>
    </row>
    <row r="105" spans="1:14" x14ac:dyDescent="0.2">
      <c r="A105" s="1"/>
      <c r="B105" s="81" t="s">
        <v>2259</v>
      </c>
      <c r="C105" s="1"/>
      <c r="D105" s="277"/>
      <c r="E105" s="278" t="s">
        <v>1711</v>
      </c>
      <c r="F105" s="279"/>
      <c r="G105" s="1"/>
      <c r="H105" s="1"/>
      <c r="I105" s="1"/>
      <c r="J105" s="1"/>
      <c r="K105" s="1"/>
      <c r="L105" s="3"/>
      <c r="M105" s="1"/>
      <c r="N105" s="1"/>
    </row>
    <row r="106" spans="1:14" x14ac:dyDescent="0.2">
      <c r="A106" s="1"/>
      <c r="B106" s="1"/>
      <c r="C106" s="1"/>
      <c r="D106" s="280"/>
      <c r="E106" s="152">
        <v>0</v>
      </c>
      <c r="F106" s="279"/>
      <c r="G106" s="1"/>
      <c r="H106" s="1"/>
      <c r="I106" s="1"/>
      <c r="J106" s="1"/>
      <c r="K106" s="1"/>
      <c r="L106" s="3"/>
      <c r="M106" s="1"/>
      <c r="N106" s="1"/>
    </row>
    <row r="107" spans="1:14" x14ac:dyDescent="0.2">
      <c r="A107" s="1"/>
      <c r="B107" s="1"/>
      <c r="C107" s="1"/>
      <c r="D107" s="280"/>
      <c r="E107" s="152">
        <v>0</v>
      </c>
      <c r="F107" s="279"/>
      <c r="G107" s="1"/>
      <c r="H107" s="1"/>
      <c r="I107" s="1"/>
      <c r="J107" s="1"/>
      <c r="K107" s="1"/>
      <c r="L107" s="3"/>
      <c r="M107" s="1"/>
      <c r="N107" s="1"/>
    </row>
    <row r="108" spans="1:14" x14ac:dyDescent="0.2">
      <c r="A108" s="1"/>
      <c r="B108" s="1"/>
      <c r="C108" s="1"/>
      <c r="D108" s="1"/>
      <c r="E108" s="1"/>
      <c r="F108" s="1"/>
      <c r="G108" s="1"/>
      <c r="H108" s="1"/>
      <c r="I108" s="1"/>
      <c r="J108" s="1"/>
      <c r="K108" s="1"/>
      <c r="L108" s="3"/>
      <c r="M108" s="1"/>
      <c r="N108" s="1"/>
    </row>
    <row r="109" spans="1:14" x14ac:dyDescent="0.2">
      <c r="A109" s="1"/>
      <c r="B109" s="82" t="s">
        <v>1033</v>
      </c>
      <c r="C109" s="318" t="s">
        <v>995</v>
      </c>
      <c r="D109" s="1"/>
      <c r="E109" s="1"/>
      <c r="F109" s="252"/>
      <c r="G109" s="1"/>
      <c r="H109" s="1"/>
      <c r="I109" s="1"/>
      <c r="J109" s="1"/>
      <c r="K109" s="1"/>
      <c r="L109" s="3"/>
      <c r="M109" s="1"/>
      <c r="N109" s="1"/>
    </row>
    <row r="110" spans="1:14" x14ac:dyDescent="0.2">
      <c r="A110" s="1"/>
      <c r="B110" s="52" t="str">
        <f>J110</f>
        <v/>
      </c>
      <c r="C110" s="1"/>
      <c r="D110" s="1"/>
      <c r="E110" s="1"/>
      <c r="F110" s="1"/>
      <c r="G110" s="1"/>
      <c r="H110" s="1"/>
      <c r="I110" s="1"/>
      <c r="J110" s="73" t="str">
        <f>IF(C109="x","Het juiste antwoord is: Beloning, Personeelszorg en Uitstroom.","")</f>
        <v/>
      </c>
      <c r="K110" s="1"/>
      <c r="L110" s="3"/>
      <c r="M110" s="1"/>
      <c r="N110" s="1"/>
    </row>
    <row r="111" spans="1:14" x14ac:dyDescent="0.2">
      <c r="A111" s="14"/>
      <c r="B111" s="14"/>
      <c r="C111" s="14"/>
      <c r="D111" s="180"/>
      <c r="E111" s="14"/>
      <c r="F111" s="14"/>
      <c r="G111" s="14"/>
      <c r="H111" s="14"/>
      <c r="I111" s="14"/>
      <c r="J111" s="1"/>
      <c r="K111" s="1"/>
      <c r="L111" s="3"/>
      <c r="M111" s="1"/>
      <c r="N111" s="1"/>
    </row>
    <row r="112" spans="1:14" x14ac:dyDescent="0.2">
      <c r="A112" s="1"/>
      <c r="B112" s="1"/>
      <c r="C112" s="1"/>
      <c r="D112" s="1"/>
      <c r="E112" s="1"/>
      <c r="F112" s="1"/>
      <c r="G112" s="1"/>
      <c r="H112" s="1"/>
      <c r="I112" s="1"/>
      <c r="J112" s="5" t="e">
        <f>SEARCH("Arbeidsverhouding",E115)</f>
        <v>#VALUE!</v>
      </c>
      <c r="K112" s="1"/>
      <c r="L112" s="3"/>
      <c r="M112" s="1"/>
      <c r="N112" s="1"/>
    </row>
    <row r="113" spans="1:14" x14ac:dyDescent="0.2">
      <c r="A113" s="1" t="s">
        <v>1632</v>
      </c>
      <c r="B113" s="1" t="s">
        <v>1714</v>
      </c>
      <c r="C113" s="1"/>
      <c r="D113" s="288" t="s">
        <v>1718</v>
      </c>
      <c r="E113" s="109" t="s">
        <v>1716</v>
      </c>
      <c r="F113" s="110"/>
      <c r="G113" s="1"/>
      <c r="H113" s="1"/>
      <c r="I113" s="1"/>
      <c r="J113" s="5">
        <f>ABS(ISERR(J112))</f>
        <v>1</v>
      </c>
      <c r="K113" s="5">
        <f>ABS(IF(J113=0,"1","0"))</f>
        <v>0</v>
      </c>
      <c r="L113" s="3">
        <v>1</v>
      </c>
      <c r="M113" s="1"/>
      <c r="N113" s="1"/>
    </row>
    <row r="114" spans="1:14" x14ac:dyDescent="0.2">
      <c r="A114" s="1"/>
      <c r="B114" s="1" t="s">
        <v>2260</v>
      </c>
      <c r="C114" s="1"/>
      <c r="D114" s="288" t="s">
        <v>1719</v>
      </c>
      <c r="E114" s="109" t="s">
        <v>1717</v>
      </c>
      <c r="F114" s="110"/>
      <c r="G114" s="1"/>
      <c r="H114" s="1"/>
      <c r="I114" s="1"/>
      <c r="J114" s="5" t="e">
        <f>SEARCH("Arbeidsvoorwaard",E116)</f>
        <v>#VALUE!</v>
      </c>
      <c r="K114" s="1"/>
      <c r="L114" s="3"/>
      <c r="M114" s="1"/>
      <c r="N114" s="1"/>
    </row>
    <row r="115" spans="1:14" x14ac:dyDescent="0.2">
      <c r="A115" s="1"/>
      <c r="B115" s="1" t="s">
        <v>2261</v>
      </c>
      <c r="C115" s="1"/>
      <c r="D115" s="281" t="s">
        <v>1720</v>
      </c>
      <c r="E115" s="282">
        <v>0</v>
      </c>
      <c r="F115" s="110"/>
      <c r="G115" s="1"/>
      <c r="H115" s="1"/>
      <c r="I115" s="1"/>
      <c r="J115" s="5">
        <f>ABS(ISERR(J114))</f>
        <v>1</v>
      </c>
      <c r="K115" s="5">
        <f>ABS(IF(J115=0,"1","0"))</f>
        <v>0</v>
      </c>
      <c r="L115" s="3">
        <v>1</v>
      </c>
      <c r="M115" s="1"/>
      <c r="N115" s="1"/>
    </row>
    <row r="116" spans="1:14" x14ac:dyDescent="0.2">
      <c r="A116" s="1"/>
      <c r="B116" s="1" t="s">
        <v>1715</v>
      </c>
      <c r="C116" s="1"/>
      <c r="D116" s="281" t="s">
        <v>1721</v>
      </c>
      <c r="E116" s="282" t="s">
        <v>995</v>
      </c>
      <c r="F116" s="110"/>
      <c r="G116" s="1"/>
      <c r="H116" s="1"/>
      <c r="I116" s="1"/>
      <c r="J116" s="5" t="e">
        <f>SEARCH("Arbeidsvoorwaard",E115)</f>
        <v>#VALUE!</v>
      </c>
      <c r="K116" s="1"/>
      <c r="L116" s="3"/>
      <c r="M116" s="1"/>
      <c r="N116" s="1"/>
    </row>
    <row r="117" spans="1:14" x14ac:dyDescent="0.2">
      <c r="A117" s="1"/>
      <c r="B117" s="81" t="s">
        <v>2262</v>
      </c>
      <c r="C117" s="1"/>
      <c r="D117" s="1" t="s">
        <v>995</v>
      </c>
      <c r="E117" s="1"/>
      <c r="F117" s="1"/>
      <c r="G117" s="1"/>
      <c r="H117" s="1"/>
      <c r="I117" s="1"/>
      <c r="J117" s="5">
        <f>ABS(ISERR(J116))</f>
        <v>1</v>
      </c>
      <c r="K117" s="5">
        <f>ABS(IF(J117=0,"1","0"))</f>
        <v>0</v>
      </c>
      <c r="L117" s="3">
        <v>0</v>
      </c>
      <c r="M117" s="1"/>
      <c r="N117" s="1"/>
    </row>
    <row r="118" spans="1:14" x14ac:dyDescent="0.2">
      <c r="A118" s="1"/>
      <c r="C118" s="1"/>
      <c r="D118" s="1"/>
      <c r="E118" s="1"/>
      <c r="F118" s="1"/>
      <c r="G118" s="1"/>
      <c r="H118" s="1"/>
      <c r="I118" s="1"/>
      <c r="J118" s="5" t="e">
        <f>SEARCH("Arbeidsverhouding",E116)</f>
        <v>#VALUE!</v>
      </c>
      <c r="K118" s="1"/>
      <c r="L118" s="3"/>
      <c r="M118" s="1"/>
      <c r="N118" s="1"/>
    </row>
    <row r="119" spans="1:14" x14ac:dyDescent="0.2">
      <c r="A119" s="1"/>
      <c r="B119" s="82" t="s">
        <v>1033</v>
      </c>
      <c r="C119" s="318" t="s">
        <v>995</v>
      </c>
      <c r="D119" s="1"/>
      <c r="E119" s="1"/>
      <c r="F119" s="252"/>
      <c r="G119" s="1"/>
      <c r="H119" s="1"/>
      <c r="I119" s="1"/>
      <c r="J119" s="5">
        <f>ABS(ISERR(J118))</f>
        <v>1</v>
      </c>
      <c r="K119" s="5">
        <f>ABS(IF(J119=0,"1","0"))</f>
        <v>0</v>
      </c>
      <c r="L119" s="3">
        <v>0</v>
      </c>
      <c r="M119" s="1"/>
      <c r="N119" s="1"/>
    </row>
    <row r="120" spans="1:14" x14ac:dyDescent="0.2">
      <c r="A120" s="1"/>
      <c r="B120" s="52" t="str">
        <f>J120</f>
        <v/>
      </c>
      <c r="C120" s="1"/>
      <c r="D120" s="1"/>
      <c r="E120" s="1"/>
      <c r="F120" s="1"/>
      <c r="G120" s="1"/>
      <c r="H120" s="1"/>
      <c r="I120" s="1"/>
      <c r="J120" s="73" t="str">
        <f>IF(C119="x","Het juiste antwoord is: Arbeidsverhoudingen en Arbeidsvoorwaarden.","")</f>
        <v/>
      </c>
      <c r="K120" s="1"/>
      <c r="L120" s="3"/>
      <c r="M120" s="1"/>
      <c r="N120" s="1"/>
    </row>
    <row r="121" spans="1:14" x14ac:dyDescent="0.2">
      <c r="A121" s="1"/>
      <c r="B121" s="1"/>
      <c r="C121" s="1"/>
      <c r="D121" s="1"/>
      <c r="E121" s="1"/>
      <c r="F121" s="1"/>
      <c r="G121" s="1"/>
      <c r="H121" s="1"/>
      <c r="I121" s="1"/>
      <c r="J121" s="1"/>
      <c r="K121" s="1"/>
      <c r="L121" s="3"/>
      <c r="M121" s="1"/>
      <c r="N121" s="1"/>
    </row>
    <row r="122" spans="1:14" x14ac:dyDescent="0.2">
      <c r="A122" s="14"/>
      <c r="B122" s="14"/>
      <c r="C122" s="14"/>
      <c r="D122" s="180"/>
      <c r="E122" s="14"/>
      <c r="F122" s="14"/>
      <c r="G122" s="14"/>
      <c r="H122" s="14"/>
      <c r="I122" s="14"/>
      <c r="J122" s="1"/>
      <c r="K122" s="1"/>
      <c r="L122" s="3"/>
      <c r="M122" s="1"/>
      <c r="N122" s="1"/>
    </row>
    <row r="123" spans="1:14" x14ac:dyDescent="0.2">
      <c r="A123" s="1"/>
      <c r="B123" s="1"/>
      <c r="C123" s="1"/>
      <c r="D123" s="1"/>
      <c r="E123" s="1"/>
      <c r="F123" s="1"/>
      <c r="G123" s="1"/>
      <c r="H123" s="1"/>
      <c r="I123" s="1"/>
      <c r="J123" s="1"/>
      <c r="K123" s="1"/>
      <c r="L123" s="3"/>
      <c r="M123" s="1"/>
      <c r="N123" s="1"/>
    </row>
    <row r="124" spans="1:14" x14ac:dyDescent="0.2">
      <c r="A124" s="1" t="s">
        <v>1646</v>
      </c>
      <c r="B124" s="1" t="s">
        <v>1722</v>
      </c>
      <c r="C124" s="1"/>
      <c r="D124" s="1"/>
      <c r="E124" s="1"/>
      <c r="F124" s="1"/>
      <c r="G124" s="1"/>
      <c r="H124" s="1"/>
      <c r="I124" s="1"/>
      <c r="J124" s="1"/>
      <c r="K124" s="1"/>
      <c r="L124" s="3"/>
      <c r="M124" s="1"/>
      <c r="N124" s="1"/>
    </row>
    <row r="125" spans="1:14" x14ac:dyDescent="0.2">
      <c r="A125" s="1"/>
      <c r="B125" s="1" t="s">
        <v>2263</v>
      </c>
      <c r="C125" s="1"/>
      <c r="D125" s="1"/>
      <c r="E125" s="1"/>
      <c r="F125" s="1"/>
      <c r="G125" s="1"/>
      <c r="H125" s="1"/>
      <c r="I125" s="1"/>
      <c r="J125" s="1"/>
      <c r="K125" s="1"/>
      <c r="L125" s="3"/>
      <c r="M125" s="1"/>
      <c r="N125" s="1"/>
    </row>
    <row r="126" spans="1:14" x14ac:dyDescent="0.2">
      <c r="A126" s="1"/>
      <c r="B126" s="1" t="s">
        <v>1723</v>
      </c>
      <c r="C126" s="1"/>
      <c r="D126" s="1"/>
      <c r="E126" s="1"/>
      <c r="F126" s="1"/>
      <c r="G126" s="1"/>
      <c r="H126" s="1"/>
      <c r="I126" s="1"/>
      <c r="J126" s="5" t="e">
        <f>SEARCH("Arbeidsmarkt",E127)</f>
        <v>#VALUE!</v>
      </c>
      <c r="K126" s="1"/>
      <c r="L126" s="3"/>
      <c r="M126" s="1"/>
      <c r="N126" s="1"/>
    </row>
    <row r="127" spans="1:14" x14ac:dyDescent="0.2">
      <c r="A127" s="1"/>
      <c r="B127" s="1" t="s">
        <v>1724</v>
      </c>
      <c r="C127" s="1"/>
      <c r="D127" s="288" t="s">
        <v>1725</v>
      </c>
      <c r="E127" s="21" t="s">
        <v>995</v>
      </c>
      <c r="F127" s="289"/>
      <c r="G127" s="1"/>
      <c r="H127" s="1"/>
      <c r="I127" s="1"/>
      <c r="J127" s="5">
        <f>ABS(ISERR(J126))</f>
        <v>1</v>
      </c>
      <c r="K127" s="5">
        <f>ABS(IF(J127=0,"1","0"))</f>
        <v>0</v>
      </c>
      <c r="L127" s="3">
        <v>1</v>
      </c>
      <c r="M127" s="1" t="s">
        <v>1836</v>
      </c>
      <c r="N127" s="1"/>
    </row>
    <row r="128" spans="1:14" x14ac:dyDescent="0.2">
      <c r="A128" s="1"/>
      <c r="B128" s="81" t="s">
        <v>2264</v>
      </c>
      <c r="C128" s="1"/>
      <c r="D128" s="1"/>
      <c r="E128" s="1"/>
      <c r="F128" s="1"/>
      <c r="G128" s="1"/>
      <c r="H128" s="1"/>
      <c r="I128" s="1"/>
      <c r="J128" s="1"/>
      <c r="K128" s="1"/>
      <c r="L128" s="3"/>
      <c r="M128" s="1"/>
      <c r="N128" s="1"/>
    </row>
    <row r="129" spans="1:14" x14ac:dyDescent="0.2">
      <c r="A129" s="1"/>
      <c r="B129" s="1"/>
      <c r="C129" s="1"/>
      <c r="D129" s="1"/>
      <c r="E129" s="1"/>
      <c r="F129" s="1"/>
      <c r="G129" s="1"/>
      <c r="H129" s="1"/>
      <c r="I129" s="1"/>
      <c r="J129" s="1"/>
      <c r="K129" s="1"/>
      <c r="L129" s="3"/>
      <c r="M129" s="1"/>
      <c r="N129" s="1"/>
    </row>
    <row r="130" spans="1:14" x14ac:dyDescent="0.2">
      <c r="A130" s="1"/>
      <c r="B130" s="82" t="s">
        <v>1033</v>
      </c>
      <c r="C130" s="318" t="s">
        <v>995</v>
      </c>
      <c r="D130" s="1"/>
      <c r="E130" s="1"/>
      <c r="F130" s="252"/>
      <c r="G130" s="1"/>
      <c r="H130" s="1"/>
      <c r="I130" s="1"/>
      <c r="J130" s="1"/>
      <c r="K130" s="1"/>
      <c r="L130" s="3"/>
      <c r="M130" s="1"/>
      <c r="N130" s="1"/>
    </row>
    <row r="131" spans="1:14" x14ac:dyDescent="0.2">
      <c r="A131" s="1"/>
      <c r="B131" s="52" t="str">
        <f>J131</f>
        <v/>
      </c>
      <c r="C131" s="1"/>
      <c r="D131" s="1"/>
      <c r="E131" s="1"/>
      <c r="F131" s="1"/>
      <c r="G131" s="1"/>
      <c r="H131" s="1"/>
      <c r="I131" s="1"/>
      <c r="J131" s="73" t="str">
        <f>IF(C130="x","Het juiste antwoord is: de A van Arbeidsmarkt!","")</f>
        <v/>
      </c>
      <c r="K131" s="1"/>
      <c r="L131" s="3"/>
      <c r="M131" s="1"/>
      <c r="N131" s="1"/>
    </row>
    <row r="132" spans="1:14" x14ac:dyDescent="0.2">
      <c r="A132" s="1"/>
      <c r="B132" s="119"/>
      <c r="C132" s="1"/>
      <c r="D132" s="1"/>
      <c r="E132" s="1"/>
      <c r="F132" s="1"/>
      <c r="G132" s="1"/>
      <c r="H132" s="1"/>
      <c r="I132" s="1"/>
      <c r="J132" s="120"/>
      <c r="K132" s="1"/>
      <c r="L132" s="3"/>
      <c r="M132" s="1"/>
      <c r="N132" s="1"/>
    </row>
    <row r="133" spans="1:14" x14ac:dyDescent="0.2">
      <c r="A133" s="14"/>
      <c r="B133" s="14"/>
      <c r="C133" s="14"/>
      <c r="D133" s="180"/>
      <c r="E133" s="14"/>
      <c r="F133" s="14"/>
      <c r="G133" s="14"/>
      <c r="H133" s="14"/>
      <c r="I133" s="14"/>
      <c r="J133" s="120"/>
      <c r="K133" s="1"/>
      <c r="L133" s="3"/>
      <c r="M133" s="1"/>
      <c r="N133" s="1"/>
    </row>
    <row r="134" spans="1:14" x14ac:dyDescent="0.2">
      <c r="A134" s="1"/>
      <c r="B134" s="199"/>
      <c r="C134" s="1"/>
      <c r="D134" s="1"/>
      <c r="E134" s="1"/>
      <c r="F134" s="1"/>
      <c r="G134" s="1"/>
      <c r="H134" s="1"/>
      <c r="I134" s="1"/>
      <c r="J134" s="5" t="e">
        <f>SEARCH("Vertrouwen",D137)</f>
        <v>#VALUE!</v>
      </c>
      <c r="K134" s="1"/>
      <c r="L134" s="3"/>
      <c r="M134" s="1"/>
      <c r="N134" s="1"/>
    </row>
    <row r="135" spans="1:14" x14ac:dyDescent="0.2">
      <c r="A135" s="67" t="s">
        <v>1659</v>
      </c>
      <c r="B135" s="450" t="s">
        <v>1917</v>
      </c>
      <c r="C135" s="1"/>
      <c r="D135" s="67" t="s">
        <v>1918</v>
      </c>
      <c r="E135" s="1"/>
      <c r="F135" s="1"/>
      <c r="G135" s="1"/>
      <c r="H135" s="1"/>
      <c r="I135" s="1"/>
      <c r="J135" s="5">
        <f>ABS(ISERR(J134))</f>
        <v>1</v>
      </c>
      <c r="K135" s="5">
        <f>ABS(IF(J135=0,"1","0"))</f>
        <v>0</v>
      </c>
      <c r="L135" s="3">
        <v>1</v>
      </c>
      <c r="M135" s="67" t="s">
        <v>1920</v>
      </c>
      <c r="N135" s="1"/>
    </row>
    <row r="136" spans="1:14" x14ac:dyDescent="0.2">
      <c r="A136" s="1"/>
      <c r="B136" s="450" t="s">
        <v>2265</v>
      </c>
      <c r="C136" s="1"/>
      <c r="D136" s="1"/>
      <c r="E136" s="1"/>
      <c r="F136" s="1"/>
      <c r="G136" s="1"/>
      <c r="H136" s="1"/>
      <c r="I136" s="1"/>
      <c r="J136" s="5" t="e">
        <f>SEARCH("wantrouwen",D137)</f>
        <v>#VALUE!</v>
      </c>
      <c r="K136" s="1"/>
      <c r="L136" s="3"/>
      <c r="M136" s="1"/>
      <c r="N136" s="1"/>
    </row>
    <row r="137" spans="1:14" ht="25.5" x14ac:dyDescent="0.2">
      <c r="A137" s="1"/>
      <c r="B137" s="451" t="s">
        <v>1919</v>
      </c>
      <c r="C137" s="1"/>
      <c r="D137" s="455" t="s">
        <v>995</v>
      </c>
      <c r="E137" s="2"/>
      <c r="F137" s="428" t="s">
        <v>995</v>
      </c>
      <c r="G137" s="1"/>
      <c r="H137" s="1"/>
      <c r="I137" s="1"/>
      <c r="J137" s="12">
        <f>ABS(ISERR(J136))</f>
        <v>1</v>
      </c>
      <c r="K137" s="12">
        <f>ABS(IF(J137=0,"1","0"))</f>
        <v>0</v>
      </c>
      <c r="L137" s="3">
        <v>1</v>
      </c>
      <c r="M137" s="67" t="s">
        <v>1921</v>
      </c>
      <c r="N137" s="1"/>
    </row>
    <row r="138" spans="1:14" x14ac:dyDescent="0.2">
      <c r="A138" s="1"/>
      <c r="B138" s="203" t="s">
        <v>2266</v>
      </c>
      <c r="C138" s="1"/>
      <c r="D138" s="1"/>
      <c r="E138" s="1"/>
      <c r="F138" s="1"/>
      <c r="G138" s="1"/>
      <c r="H138" s="1"/>
      <c r="I138" s="1"/>
      <c r="J138" s="453"/>
      <c r="K138" s="454"/>
      <c r="L138" s="3"/>
      <c r="M138" s="1"/>
      <c r="N138" s="1"/>
    </row>
    <row r="139" spans="1:14" x14ac:dyDescent="0.2">
      <c r="A139" s="1"/>
      <c r="B139" s="199"/>
      <c r="C139" s="1"/>
      <c r="D139" s="1"/>
      <c r="E139" s="1"/>
      <c r="F139" s="1"/>
      <c r="G139" s="1"/>
      <c r="H139" s="1"/>
      <c r="I139" s="1"/>
      <c r="J139" s="120"/>
      <c r="K139" s="452"/>
      <c r="L139" s="3"/>
      <c r="M139" s="67"/>
      <c r="N139" s="1"/>
    </row>
    <row r="140" spans="1:14" x14ac:dyDescent="0.2">
      <c r="A140" s="1"/>
      <c r="B140" s="82" t="s">
        <v>1033</v>
      </c>
      <c r="C140" s="318" t="s">
        <v>995</v>
      </c>
      <c r="D140" s="1"/>
      <c r="E140" s="1"/>
      <c r="F140" s="252"/>
      <c r="G140" s="1"/>
      <c r="H140" s="1"/>
      <c r="I140" s="1"/>
      <c r="J140" s="1"/>
      <c r="K140" s="1"/>
      <c r="L140" s="3"/>
      <c r="M140" s="1"/>
      <c r="N140" s="1"/>
    </row>
    <row r="141" spans="1:14" x14ac:dyDescent="0.2">
      <c r="A141" s="1"/>
      <c r="B141" s="52" t="str">
        <f>J141</f>
        <v/>
      </c>
      <c r="C141" s="1"/>
      <c r="D141" s="1"/>
      <c r="E141" s="1"/>
      <c r="F141" s="1"/>
      <c r="G141" s="1"/>
      <c r="H141" s="1"/>
      <c r="I141" s="1"/>
      <c r="J141" s="73" t="str">
        <f>IF(C140="x","Het juiste antwoord is: Wantrouwen! Of: gebrek aan vertrouwen","")</f>
        <v/>
      </c>
      <c r="K141" s="1"/>
      <c r="L141" s="3"/>
      <c r="M141" s="1"/>
      <c r="N141" s="1"/>
    </row>
    <row r="142" spans="1:14" x14ac:dyDescent="0.2">
      <c r="A142" s="1"/>
      <c r="B142" s="426"/>
      <c r="C142" s="426"/>
      <c r="D142" s="426"/>
      <c r="E142" s="426"/>
      <c r="F142" s="426"/>
      <c r="G142" s="426"/>
      <c r="H142" s="426"/>
      <c r="I142" s="426"/>
      <c r="J142" s="426"/>
      <c r="K142" s="1"/>
      <c r="L142" s="3"/>
      <c r="M142" s="1"/>
      <c r="N142" s="1"/>
    </row>
    <row r="143" spans="1:14" x14ac:dyDescent="0.2">
      <c r="A143" s="14"/>
      <c r="B143" s="14"/>
      <c r="C143" s="14"/>
      <c r="D143" s="180"/>
      <c r="E143" s="14"/>
      <c r="F143" s="14"/>
      <c r="G143" s="14"/>
      <c r="H143" s="14"/>
      <c r="I143" s="14"/>
      <c r="J143" s="426"/>
      <c r="K143" s="1"/>
      <c r="L143" s="3"/>
      <c r="M143" s="1"/>
      <c r="N143" s="1"/>
    </row>
    <row r="144" spans="1:14" x14ac:dyDescent="0.2">
      <c r="A144" s="1"/>
      <c r="B144" s="426"/>
      <c r="C144" s="426"/>
      <c r="D144" s="426"/>
      <c r="E144" s="426"/>
      <c r="F144" s="426"/>
      <c r="G144" s="426"/>
      <c r="H144" s="426"/>
      <c r="I144" s="426"/>
      <c r="J144" s="426"/>
      <c r="K144" s="1"/>
      <c r="L144" s="3"/>
      <c r="M144" s="1"/>
      <c r="N144" s="1"/>
    </row>
    <row r="145" spans="1:14" x14ac:dyDescent="0.2">
      <c r="A145" s="67" t="s">
        <v>885</v>
      </c>
      <c r="B145" s="438" t="s">
        <v>1922</v>
      </c>
      <c r="C145" s="426"/>
      <c r="D145" s="426"/>
      <c r="E145" s="426"/>
      <c r="F145" s="426"/>
      <c r="G145" s="426"/>
      <c r="H145" s="426"/>
      <c r="I145" s="426"/>
      <c r="J145" s="426"/>
      <c r="K145" s="1"/>
      <c r="L145" s="3"/>
      <c r="M145" s="1"/>
      <c r="N145" s="1"/>
    </row>
    <row r="146" spans="1:14" x14ac:dyDescent="0.2">
      <c r="A146" s="1"/>
      <c r="B146" s="458" t="s">
        <v>2267</v>
      </c>
      <c r="C146" s="426"/>
      <c r="D146" s="426"/>
      <c r="E146" s="426"/>
      <c r="F146" s="426"/>
      <c r="G146" s="426"/>
      <c r="H146" s="426"/>
      <c r="I146" s="426"/>
      <c r="J146" s="426"/>
      <c r="K146" s="1"/>
      <c r="L146" s="3"/>
      <c r="M146" s="1"/>
      <c r="N146" s="1"/>
    </row>
    <row r="147" spans="1:14" x14ac:dyDescent="0.2">
      <c r="A147" s="1"/>
      <c r="B147" s="1"/>
      <c r="C147" s="1"/>
      <c r="D147" s="292" t="s">
        <v>1923</v>
      </c>
      <c r="E147" s="293" t="s">
        <v>1924</v>
      </c>
      <c r="F147" s="46">
        <f>IF(C152="x","zijn:",0)</f>
        <v>0</v>
      </c>
      <c r="G147" s="1"/>
      <c r="H147" s="1"/>
      <c r="I147" s="1"/>
      <c r="J147" s="1"/>
      <c r="K147" s="1"/>
      <c r="L147" s="3"/>
      <c r="M147" s="1"/>
      <c r="N147" s="1"/>
    </row>
    <row r="148" spans="1:14" ht="25.5" x14ac:dyDescent="0.2">
      <c r="A148" s="1"/>
      <c r="B148" s="457" t="s">
        <v>1925</v>
      </c>
      <c r="C148" s="6"/>
      <c r="D148" s="442" t="s">
        <v>995</v>
      </c>
      <c r="E148" s="442" t="s">
        <v>995</v>
      </c>
      <c r="F148" s="17">
        <f>IF(C152="x",M148,0)</f>
        <v>0</v>
      </c>
      <c r="G148" s="1"/>
      <c r="H148" s="1"/>
      <c r="I148" s="1"/>
      <c r="J148" s="6" t="str">
        <f>IF(E148="x","JUIST","FOUT")</f>
        <v>FOUT</v>
      </c>
      <c r="K148" s="6">
        <f>IF(J148="JUIST",1,0)</f>
        <v>0</v>
      </c>
      <c r="L148" s="3">
        <v>1</v>
      </c>
      <c r="M148" s="67" t="s">
        <v>659</v>
      </c>
      <c r="N148" s="1"/>
    </row>
    <row r="149" spans="1:14" ht="27.75" customHeight="1" x14ac:dyDescent="0.2">
      <c r="A149" s="1"/>
      <c r="B149" s="532" t="s">
        <v>2268</v>
      </c>
      <c r="C149" s="6"/>
      <c r="D149" s="442" t="s">
        <v>995</v>
      </c>
      <c r="E149" s="442" t="s">
        <v>995</v>
      </c>
      <c r="F149" s="17">
        <f>IF(C152="x",M149,0)</f>
        <v>0</v>
      </c>
      <c r="G149" s="1"/>
      <c r="H149" s="1"/>
      <c r="I149" s="1"/>
      <c r="J149" s="6" t="str">
        <f>IF(D149="x","JUIST","FOUT")</f>
        <v>FOUT</v>
      </c>
      <c r="K149" s="6">
        <f>IF(J149="JUIST",1,0)</f>
        <v>0</v>
      </c>
      <c r="L149" s="3">
        <v>1</v>
      </c>
      <c r="M149" s="67" t="s">
        <v>1928</v>
      </c>
      <c r="N149" s="1"/>
    </row>
    <row r="150" spans="1:14" ht="27.75" customHeight="1" x14ac:dyDescent="0.2">
      <c r="A150" s="1"/>
      <c r="B150" s="457" t="s">
        <v>1926</v>
      </c>
      <c r="C150" s="456"/>
      <c r="D150" s="442" t="s">
        <v>995</v>
      </c>
      <c r="E150" s="442" t="s">
        <v>995</v>
      </c>
      <c r="F150" s="17">
        <f>IF(C152="x",M150,0)</f>
        <v>0</v>
      </c>
      <c r="G150" s="17"/>
      <c r="H150" s="1"/>
      <c r="I150" s="1"/>
      <c r="J150" s="6" t="str">
        <f>IF(E150="x","JUIST","FOUT")</f>
        <v>FOUT</v>
      </c>
      <c r="K150" s="6">
        <f>IF(J150="JUIST",1,0)</f>
        <v>0</v>
      </c>
      <c r="L150" s="3">
        <v>1</v>
      </c>
      <c r="M150" s="67" t="s">
        <v>1927</v>
      </c>
      <c r="N150" s="1"/>
    </row>
    <row r="151" spans="1:14" x14ac:dyDescent="0.2">
      <c r="A151" s="1"/>
      <c r="B151" s="1"/>
      <c r="C151" s="1"/>
      <c r="D151" s="1"/>
      <c r="E151" s="1"/>
      <c r="F151" s="1"/>
      <c r="G151" s="1"/>
      <c r="H151" s="1"/>
      <c r="I151" s="1"/>
      <c r="J151" s="1"/>
      <c r="K151" s="1"/>
      <c r="L151" s="3"/>
      <c r="M151" s="1"/>
      <c r="N151" s="1"/>
    </row>
    <row r="152" spans="1:14" x14ac:dyDescent="0.2">
      <c r="A152" s="1"/>
      <c r="B152" s="82" t="s">
        <v>1033</v>
      </c>
      <c r="C152" s="318" t="s">
        <v>995</v>
      </c>
      <c r="D152" s="1"/>
      <c r="E152" s="1"/>
      <c r="F152" s="1"/>
      <c r="G152" s="1"/>
      <c r="H152" s="1"/>
      <c r="I152" s="1"/>
      <c r="J152" s="1"/>
      <c r="K152" s="1"/>
      <c r="L152" s="3"/>
      <c r="M152" s="1"/>
      <c r="N152" s="1"/>
    </row>
    <row r="153" spans="1:14" x14ac:dyDescent="0.2">
      <c r="A153" s="1"/>
      <c r="B153" s="1"/>
      <c r="C153" s="1"/>
      <c r="D153" s="1"/>
      <c r="E153" s="1"/>
      <c r="F153" s="1"/>
      <c r="G153" s="1"/>
      <c r="H153" s="1"/>
      <c r="I153" s="1"/>
      <c r="J153" s="1"/>
      <c r="K153" s="1"/>
      <c r="L153" s="3"/>
      <c r="M153" s="1"/>
      <c r="N153" s="1"/>
    </row>
    <row r="154" spans="1:14" x14ac:dyDescent="0.2">
      <c r="A154" s="14"/>
      <c r="B154" s="14"/>
      <c r="C154" s="14"/>
      <c r="D154" s="180"/>
      <c r="E154" s="14"/>
      <c r="F154" s="14"/>
      <c r="G154" s="14"/>
      <c r="H154" s="14"/>
      <c r="I154" s="14"/>
      <c r="J154" s="1"/>
      <c r="K154" s="1"/>
      <c r="L154" s="3"/>
      <c r="M154" s="1"/>
      <c r="N154" s="1"/>
    </row>
    <row r="155" spans="1:14" x14ac:dyDescent="0.2">
      <c r="A155" s="1"/>
      <c r="B155" s="1"/>
      <c r="C155" s="1"/>
      <c r="D155" s="1"/>
      <c r="E155" s="1"/>
      <c r="F155" s="1"/>
      <c r="G155" s="1"/>
      <c r="H155" s="1"/>
      <c r="I155" s="1"/>
      <c r="J155" s="1"/>
      <c r="K155" s="1"/>
      <c r="L155" s="3"/>
      <c r="M155" s="1"/>
      <c r="N155" s="1"/>
    </row>
    <row r="156" spans="1:14" ht="39" thickBot="1" x14ac:dyDescent="0.25">
      <c r="A156" s="533" t="s">
        <v>897</v>
      </c>
      <c r="B156" s="103" t="s">
        <v>2269</v>
      </c>
      <c r="C156" s="102" t="s">
        <v>446</v>
      </c>
      <c r="D156" s="102" t="s">
        <v>1623</v>
      </c>
      <c r="E156" s="526" t="s">
        <v>2119</v>
      </c>
      <c r="F156" s="527" t="s">
        <v>2120</v>
      </c>
      <c r="G156" s="1"/>
      <c r="H156" s="1"/>
      <c r="I156" s="1"/>
      <c r="J156" s="1"/>
      <c r="K156" s="1"/>
      <c r="L156" s="3"/>
      <c r="M156" s="3"/>
      <c r="N156" s="1"/>
    </row>
    <row r="157" spans="1:14" ht="13.5" thickTop="1" x14ac:dyDescent="0.2">
      <c r="A157" s="1"/>
      <c r="B157" s="2" t="s">
        <v>2270</v>
      </c>
      <c r="C157" s="56">
        <v>0</v>
      </c>
      <c r="D157" s="56">
        <v>0</v>
      </c>
      <c r="E157" s="56">
        <v>0</v>
      </c>
      <c r="F157" s="56">
        <v>0</v>
      </c>
      <c r="G157" s="1"/>
      <c r="H157" s="1"/>
      <c r="I157" s="1"/>
      <c r="J157" s="5" t="str">
        <f>IF(C157="x","JUIST","")</f>
        <v/>
      </c>
      <c r="K157" s="5">
        <f>ABS(IF(J157="JUIST","1","0"))</f>
        <v>0</v>
      </c>
      <c r="L157" s="3">
        <v>1</v>
      </c>
      <c r="M157" s="3" t="s">
        <v>475</v>
      </c>
      <c r="N157" s="1"/>
    </row>
    <row r="158" spans="1:14" x14ac:dyDescent="0.2">
      <c r="A158" s="1"/>
      <c r="B158" s="61" t="s">
        <v>2271</v>
      </c>
      <c r="C158" s="3" t="s">
        <v>475</v>
      </c>
      <c r="D158" s="3" t="s">
        <v>476</v>
      </c>
      <c r="E158" s="3" t="s">
        <v>477</v>
      </c>
      <c r="F158" s="3" t="s">
        <v>478</v>
      </c>
      <c r="G158" s="1"/>
      <c r="H158" s="1"/>
      <c r="I158" s="1"/>
      <c r="J158" s="5" t="str">
        <f>IF(D157="x","FOUT","")</f>
        <v/>
      </c>
      <c r="K158" s="5">
        <f>ABS(IF(J158="JUIST","1","0"))</f>
        <v>0</v>
      </c>
      <c r="L158" s="3" t="s">
        <v>995</v>
      </c>
      <c r="M158" s="3"/>
      <c r="N158" s="1"/>
    </row>
    <row r="159" spans="1:14" x14ac:dyDescent="0.2">
      <c r="A159" s="1"/>
      <c r="B159" s="1" t="s">
        <v>995</v>
      </c>
      <c r="C159" s="1"/>
      <c r="D159" s="1"/>
      <c r="E159" s="1"/>
      <c r="F159" s="1"/>
      <c r="G159" s="1"/>
      <c r="H159" s="1"/>
      <c r="I159" s="1"/>
      <c r="J159" s="5" t="str">
        <f>IF(E157="x","FOUT","")</f>
        <v/>
      </c>
      <c r="K159" s="5">
        <f>ABS(IF(J159="JUIST","1","0"))</f>
        <v>0</v>
      </c>
      <c r="L159" s="3"/>
      <c r="M159" s="3"/>
      <c r="N159" s="1"/>
    </row>
    <row r="160" spans="1:14" x14ac:dyDescent="0.2">
      <c r="A160" s="1"/>
      <c r="B160" s="80" t="s">
        <v>333</v>
      </c>
      <c r="C160" s="1"/>
      <c r="D160" s="1"/>
      <c r="E160" s="1"/>
      <c r="F160" s="1"/>
      <c r="G160" s="1"/>
      <c r="H160" s="1"/>
      <c r="I160" s="1"/>
      <c r="J160" s="5" t="str">
        <f>IF(F157="x","FOUT","")</f>
        <v/>
      </c>
      <c r="K160" s="5">
        <f>ABS(IF(J160="JUIST","1","0"))</f>
        <v>0</v>
      </c>
      <c r="L160" s="3" t="s">
        <v>995</v>
      </c>
      <c r="M160" s="3"/>
      <c r="N160" s="1"/>
    </row>
    <row r="161" spans="1:14" x14ac:dyDescent="0.2">
      <c r="A161" s="1"/>
      <c r="B161" s="81" t="s">
        <v>895</v>
      </c>
      <c r="C161" s="1"/>
      <c r="D161" s="1"/>
      <c r="E161" s="1"/>
      <c r="F161" s="1"/>
      <c r="G161" s="1"/>
      <c r="H161" s="1"/>
      <c r="I161" s="1"/>
      <c r="J161" s="79" t="s">
        <v>995</v>
      </c>
      <c r="K161" s="1"/>
      <c r="L161" s="3"/>
      <c r="M161" s="5" t="s">
        <v>25</v>
      </c>
      <c r="N161" s="1"/>
    </row>
    <row r="162" spans="1:14" x14ac:dyDescent="0.2">
      <c r="A162" s="1"/>
      <c r="C162" s="1"/>
      <c r="D162" s="1"/>
      <c r="E162" s="1"/>
      <c r="G162" s="1"/>
      <c r="H162" s="1"/>
      <c r="I162" s="1"/>
      <c r="K162" s="1"/>
      <c r="L162" s="3"/>
      <c r="M162" s="5">
        <v>0</v>
      </c>
      <c r="N162" s="1"/>
    </row>
    <row r="163" spans="1:14" x14ac:dyDescent="0.2">
      <c r="A163" s="1"/>
      <c r="B163" s="82" t="s">
        <v>1033</v>
      </c>
      <c r="C163" s="318" t="s">
        <v>995</v>
      </c>
      <c r="D163" s="1"/>
      <c r="E163" s="1"/>
      <c r="F163" s="79"/>
      <c r="G163" s="1"/>
      <c r="H163" s="1"/>
      <c r="I163" s="1"/>
      <c r="J163" s="1"/>
      <c r="K163" s="1"/>
      <c r="L163" s="3"/>
      <c r="M163" s="5">
        <v>0</v>
      </c>
      <c r="N163" s="1"/>
    </row>
    <row r="164" spans="1:14" x14ac:dyDescent="0.2">
      <c r="A164" s="1"/>
      <c r="B164" s="52" t="str">
        <f>J164</f>
        <v/>
      </c>
      <c r="C164" s="1"/>
      <c r="D164" s="1"/>
      <c r="E164" s="1"/>
      <c r="F164" s="252"/>
      <c r="G164" s="1"/>
      <c r="H164" s="1"/>
      <c r="I164" s="1"/>
      <c r="J164" s="73" t="str">
        <f>IF(C163="x","Het juiste antwoord is: A","")</f>
        <v/>
      </c>
      <c r="K164" s="1"/>
      <c r="L164" s="3"/>
      <c r="M164" s="3"/>
      <c r="N164" s="1"/>
    </row>
    <row r="165" spans="1:14" x14ac:dyDescent="0.2">
      <c r="A165" s="14"/>
      <c r="B165" s="14"/>
      <c r="C165" s="14"/>
      <c r="D165" s="180"/>
      <c r="E165" s="14"/>
      <c r="F165" s="14"/>
      <c r="G165" s="14"/>
      <c r="H165" s="14"/>
      <c r="I165" s="14"/>
      <c r="J165" s="1"/>
      <c r="K165" s="1"/>
      <c r="L165" s="3"/>
      <c r="M165" s="1"/>
      <c r="N165" s="1"/>
    </row>
    <row r="166" spans="1:14" x14ac:dyDescent="0.2">
      <c r="A166" s="1"/>
      <c r="B166" s="1"/>
      <c r="C166" s="1"/>
      <c r="D166" s="1"/>
      <c r="E166" s="1"/>
      <c r="F166" s="1"/>
      <c r="G166" s="1"/>
      <c r="H166" s="1"/>
      <c r="I166" s="1"/>
      <c r="J166" s="1"/>
      <c r="K166" s="1"/>
      <c r="L166" s="3"/>
      <c r="M166" s="1"/>
      <c r="N166" s="1"/>
    </row>
    <row r="167" spans="1:14" ht="39" thickBot="1" x14ac:dyDescent="0.25">
      <c r="A167" s="533" t="s">
        <v>907</v>
      </c>
      <c r="B167" s="103" t="s">
        <v>2272</v>
      </c>
      <c r="C167" s="102" t="s">
        <v>446</v>
      </c>
      <c r="D167" s="102" t="s">
        <v>1623</v>
      </c>
      <c r="E167" s="526" t="s">
        <v>2119</v>
      </c>
      <c r="F167" s="527" t="s">
        <v>2120</v>
      </c>
      <c r="G167" s="1"/>
      <c r="H167" s="1"/>
      <c r="I167" s="1"/>
      <c r="J167" s="1"/>
      <c r="K167" s="1"/>
      <c r="L167" s="3"/>
      <c r="M167" s="3"/>
      <c r="N167" s="1"/>
    </row>
    <row r="168" spans="1:14" ht="13.5" thickTop="1" x14ac:dyDescent="0.2">
      <c r="A168" s="1"/>
      <c r="B168" s="2" t="s">
        <v>2273</v>
      </c>
      <c r="C168" s="56">
        <v>0</v>
      </c>
      <c r="D168" s="56">
        <v>0</v>
      </c>
      <c r="E168" s="56">
        <v>0</v>
      </c>
      <c r="F168" s="56">
        <v>0</v>
      </c>
      <c r="G168" s="1"/>
      <c r="H168" s="1"/>
      <c r="I168" s="1"/>
      <c r="J168" s="5" t="str">
        <f>IF(C168="x","FOUT","")</f>
        <v/>
      </c>
      <c r="K168" s="5">
        <f>ABS(IF(J168="JUIST","1","0"))</f>
        <v>0</v>
      </c>
      <c r="L168" s="3">
        <v>0</v>
      </c>
      <c r="M168" s="3"/>
      <c r="N168" s="1"/>
    </row>
    <row r="169" spans="1:14" x14ac:dyDescent="0.2">
      <c r="A169" s="1"/>
      <c r="B169" s="61" t="s">
        <v>2274</v>
      </c>
      <c r="C169" s="3" t="s">
        <v>475</v>
      </c>
      <c r="D169" s="3" t="s">
        <v>476</v>
      </c>
      <c r="E169" s="3" t="s">
        <v>477</v>
      </c>
      <c r="F169" s="3" t="s">
        <v>478</v>
      </c>
      <c r="G169" s="1"/>
      <c r="H169" s="1"/>
      <c r="I169" s="1"/>
      <c r="J169" s="5" t="str">
        <f>IF(D168="x","FOUT","")</f>
        <v/>
      </c>
      <c r="K169" s="5">
        <f>ABS(IF(J169="JUIST","1","0"))</f>
        <v>0</v>
      </c>
      <c r="L169" s="3" t="s">
        <v>995</v>
      </c>
      <c r="M169" s="3"/>
      <c r="N169" s="1"/>
    </row>
    <row r="170" spans="1:14" x14ac:dyDescent="0.2">
      <c r="A170" s="1"/>
      <c r="B170" s="519" t="s">
        <v>2275</v>
      </c>
      <c r="C170" s="3"/>
      <c r="D170" s="3"/>
      <c r="E170" s="3"/>
      <c r="F170" s="3"/>
      <c r="G170" s="1"/>
      <c r="H170" s="1"/>
      <c r="I170" s="1"/>
      <c r="J170" s="5" t="str">
        <f>IF(E168="x","JUIST","")</f>
        <v/>
      </c>
      <c r="K170" s="5">
        <f>ABS(IF(J170="JUIST","1","0"))</f>
        <v>0</v>
      </c>
      <c r="L170" s="3">
        <v>1</v>
      </c>
      <c r="M170" s="3" t="s">
        <v>477</v>
      </c>
      <c r="N170" s="1"/>
    </row>
    <row r="171" spans="1:14" x14ac:dyDescent="0.2">
      <c r="A171" s="1"/>
      <c r="B171" s="1" t="s">
        <v>995</v>
      </c>
      <c r="C171" s="1"/>
      <c r="D171" s="1"/>
      <c r="E171" s="1"/>
      <c r="F171" s="1"/>
      <c r="G171" s="1"/>
      <c r="H171" s="1"/>
      <c r="I171" s="1"/>
      <c r="J171" s="5" t="str">
        <f>IF(F168="x","FOUT","")</f>
        <v/>
      </c>
      <c r="K171" s="5">
        <f>ABS(IF(J171="JUIST","1","0"))</f>
        <v>0</v>
      </c>
      <c r="L171" s="3"/>
      <c r="M171" s="3"/>
      <c r="N171" s="1"/>
    </row>
    <row r="172" spans="1:14" x14ac:dyDescent="0.2">
      <c r="A172" s="1"/>
      <c r="B172" s="80" t="s">
        <v>333</v>
      </c>
      <c r="C172" s="1"/>
      <c r="D172" s="1"/>
      <c r="E172" s="1"/>
      <c r="F172" s="1"/>
      <c r="G172" s="1"/>
      <c r="H172" s="1"/>
      <c r="I172" s="1"/>
      <c r="J172" s="1"/>
      <c r="L172" s="3" t="s">
        <v>995</v>
      </c>
      <c r="M172" s="3"/>
      <c r="N172" s="1"/>
    </row>
    <row r="173" spans="1:14" x14ac:dyDescent="0.2">
      <c r="A173" s="1"/>
      <c r="B173" s="81" t="s">
        <v>895</v>
      </c>
      <c r="C173" s="1"/>
      <c r="D173" s="1"/>
      <c r="E173" s="1"/>
      <c r="F173" s="1"/>
      <c r="G173" s="1"/>
      <c r="H173" s="1"/>
      <c r="I173" s="1"/>
      <c r="J173" s="79" t="s">
        <v>995</v>
      </c>
      <c r="K173" s="1"/>
      <c r="L173" s="3"/>
      <c r="M173" s="5" t="s">
        <v>25</v>
      </c>
      <c r="N173" s="1"/>
    </row>
    <row r="174" spans="1:14" x14ac:dyDescent="0.2">
      <c r="A174" s="1"/>
      <c r="C174" s="1"/>
      <c r="D174" s="1"/>
      <c r="E174" s="1"/>
      <c r="G174" s="1"/>
      <c r="H174" s="1"/>
      <c r="I174" s="1"/>
      <c r="K174" s="1"/>
      <c r="L174" s="3"/>
      <c r="M174" s="5">
        <v>0</v>
      </c>
      <c r="N174" s="1"/>
    </row>
    <row r="175" spans="1:14" x14ac:dyDescent="0.2">
      <c r="A175" s="1"/>
      <c r="B175" s="82" t="s">
        <v>1033</v>
      </c>
      <c r="C175" s="318" t="s">
        <v>995</v>
      </c>
      <c r="D175" s="1"/>
      <c r="E175" s="1"/>
      <c r="F175" s="79"/>
      <c r="G175" s="1"/>
      <c r="H175" s="1"/>
      <c r="I175" s="1"/>
      <c r="J175" s="1"/>
      <c r="K175" s="1"/>
      <c r="L175" s="3"/>
      <c r="M175" s="5">
        <v>0</v>
      </c>
      <c r="N175" s="1"/>
    </row>
    <row r="176" spans="1:14" x14ac:dyDescent="0.2">
      <c r="A176" s="1"/>
      <c r="B176" s="52" t="str">
        <f>J176</f>
        <v/>
      </c>
      <c r="C176" s="1"/>
      <c r="D176" s="1"/>
      <c r="E176" s="1"/>
      <c r="F176" s="252"/>
      <c r="G176" s="1"/>
      <c r="H176" s="1"/>
      <c r="I176" s="1"/>
      <c r="J176" s="73" t="str">
        <f>IF(C175="x","Het juiste antwoord is: C","")</f>
        <v/>
      </c>
      <c r="K176" s="1"/>
      <c r="L176" s="3"/>
      <c r="M176" s="3"/>
      <c r="N176" s="1"/>
    </row>
    <row r="177" spans="1:14" x14ac:dyDescent="0.2">
      <c r="A177" s="14"/>
      <c r="B177" s="14"/>
      <c r="C177" s="14"/>
      <c r="D177" s="180"/>
      <c r="E177" s="14"/>
      <c r="F177" s="14"/>
      <c r="G177" s="14"/>
      <c r="H177" s="14"/>
      <c r="I177" s="14"/>
      <c r="J177" s="1"/>
      <c r="K177" s="1"/>
      <c r="L177" s="3"/>
      <c r="M177" s="1"/>
      <c r="N177" s="1"/>
    </row>
    <row r="178" spans="1:14" x14ac:dyDescent="0.2">
      <c r="A178" s="1"/>
      <c r="B178" s="1"/>
      <c r="C178" s="1"/>
      <c r="D178" s="1"/>
      <c r="E178" s="1"/>
      <c r="F178" s="1"/>
      <c r="G178" s="1"/>
      <c r="H178" s="1"/>
      <c r="I178" s="1"/>
      <c r="J178" s="1"/>
      <c r="K178" s="1"/>
      <c r="L178" s="3"/>
      <c r="M178" s="1"/>
      <c r="N178" s="1"/>
    </row>
    <row r="179" spans="1:14" x14ac:dyDescent="0.2">
      <c r="A179" s="67" t="s">
        <v>1256</v>
      </c>
      <c r="B179" s="1" t="s">
        <v>1734</v>
      </c>
      <c r="C179" s="1"/>
      <c r="D179" s="1"/>
      <c r="E179" s="3" t="s">
        <v>1726</v>
      </c>
      <c r="F179" s="1"/>
      <c r="G179" s="1"/>
      <c r="H179" s="1"/>
      <c r="I179" s="1"/>
      <c r="J179" s="5" t="e">
        <f>SEARCH("behoefte",D188)</f>
        <v>#VALUE!</v>
      </c>
      <c r="K179" s="1"/>
      <c r="L179" s="3"/>
      <c r="M179" s="1"/>
      <c r="N179" s="1"/>
    </row>
    <row r="180" spans="1:14" x14ac:dyDescent="0.2">
      <c r="A180" s="1"/>
      <c r="B180" s="1" t="s">
        <v>1735</v>
      </c>
      <c r="C180" s="1"/>
      <c r="D180" s="1"/>
      <c r="E180" s="3"/>
      <c r="F180" s="1"/>
      <c r="G180" s="1"/>
      <c r="H180" s="1"/>
      <c r="I180" s="1"/>
      <c r="J180" s="5">
        <f>ABS(ISERR(J179))</f>
        <v>1</v>
      </c>
      <c r="K180" s="5">
        <f>ABS(IF(J180=0,"1","0"))</f>
        <v>0</v>
      </c>
      <c r="L180" s="3">
        <v>1</v>
      </c>
      <c r="M180" s="1"/>
      <c r="N180" s="1"/>
    </row>
    <row r="181" spans="1:14" x14ac:dyDescent="0.2">
      <c r="A181" s="1"/>
      <c r="B181" s="339" t="s">
        <v>2276</v>
      </c>
      <c r="C181" s="1"/>
      <c r="D181" s="1" t="s">
        <v>1728</v>
      </c>
      <c r="E181" s="3" t="s">
        <v>1727</v>
      </c>
      <c r="F181" s="16" t="s">
        <v>1729</v>
      </c>
      <c r="G181" s="1"/>
      <c r="H181" s="1"/>
      <c r="I181" s="1"/>
      <c r="J181" s="5" t="e">
        <f>SEARCH("beschikbaarheid",F188)</f>
        <v>#VALUE!</v>
      </c>
      <c r="K181" s="1"/>
      <c r="L181" s="3"/>
      <c r="M181" s="1"/>
      <c r="N181" s="1"/>
    </row>
    <row r="182" spans="1:14" x14ac:dyDescent="0.2">
      <c r="A182" s="1"/>
      <c r="B182" s="81" t="s">
        <v>2698</v>
      </c>
      <c r="C182" s="1"/>
      <c r="D182" s="1"/>
      <c r="E182" s="3"/>
      <c r="F182" s="1"/>
      <c r="G182" s="1"/>
      <c r="H182" s="1"/>
      <c r="I182" s="1"/>
      <c r="J182" s="5">
        <f>ABS(ISERR(J181))</f>
        <v>1</v>
      </c>
      <c r="K182" s="5">
        <f>ABS(IF(J182=0,"1","0"))</f>
        <v>0</v>
      </c>
      <c r="L182" s="3">
        <v>1</v>
      </c>
      <c r="M182" s="1"/>
      <c r="N182" s="1"/>
    </row>
    <row r="183" spans="1:14" x14ac:dyDescent="0.2">
      <c r="A183" s="1"/>
      <c r="C183" s="1"/>
      <c r="D183" s="1"/>
      <c r="E183" s="3" t="s">
        <v>638</v>
      </c>
      <c r="F183" s="1"/>
      <c r="G183" s="1"/>
      <c r="H183" s="1"/>
      <c r="I183" s="1"/>
      <c r="J183" s="5" t="e">
        <f>SEARCH("behoefte",F188)</f>
        <v>#VALUE!</v>
      </c>
      <c r="K183" s="1"/>
      <c r="L183" s="3"/>
      <c r="M183" s="1"/>
      <c r="N183" s="1"/>
    </row>
    <row r="184" spans="1:14" x14ac:dyDescent="0.2">
      <c r="A184" s="1"/>
      <c r="B184" s="1" t="s">
        <v>1737</v>
      </c>
      <c r="C184" s="1"/>
      <c r="D184" s="1"/>
      <c r="E184" s="3"/>
      <c r="F184" s="1"/>
      <c r="G184" s="1"/>
      <c r="H184" s="1"/>
      <c r="I184" s="1"/>
      <c r="J184" s="5">
        <f>ABS(ISERR(J183))</f>
        <v>1</v>
      </c>
      <c r="K184" s="5">
        <f>ABS(IF(J184=0,"1","0"))</f>
        <v>0</v>
      </c>
      <c r="L184" s="3">
        <v>0</v>
      </c>
      <c r="M184" s="1"/>
      <c r="N184" s="1"/>
    </row>
    <row r="185" spans="1:14" x14ac:dyDescent="0.2">
      <c r="A185" s="1"/>
      <c r="B185" s="81" t="s">
        <v>1738</v>
      </c>
      <c r="C185" s="1"/>
      <c r="D185" s="1"/>
      <c r="E185" s="3" t="s">
        <v>1730</v>
      </c>
      <c r="F185" s="1"/>
      <c r="G185" s="1"/>
      <c r="H185" s="1"/>
      <c r="I185" s="1"/>
      <c r="J185" s="5" t="e">
        <f>SEARCH("beschikbaarheid",D188)</f>
        <v>#VALUE!</v>
      </c>
      <c r="K185" s="1"/>
      <c r="L185" s="3"/>
      <c r="M185" s="1"/>
      <c r="N185" s="1"/>
    </row>
    <row r="186" spans="1:14" x14ac:dyDescent="0.2">
      <c r="A186" s="1"/>
      <c r="B186" s="81"/>
      <c r="C186" s="1"/>
      <c r="D186" s="1"/>
      <c r="E186" s="3" t="s">
        <v>1731</v>
      </c>
      <c r="F186" s="1"/>
      <c r="G186" s="1"/>
      <c r="H186" s="1"/>
      <c r="I186" s="1"/>
      <c r="J186" s="5">
        <f>ABS(ISERR(J185))</f>
        <v>1</v>
      </c>
      <c r="K186" s="5">
        <f>ABS(IF(J186=0,"1","0"))</f>
        <v>0</v>
      </c>
      <c r="L186" s="3">
        <v>0</v>
      </c>
      <c r="M186" s="1"/>
      <c r="N186" s="1"/>
    </row>
    <row r="187" spans="1:14" x14ac:dyDescent="0.2">
      <c r="A187" s="1"/>
      <c r="B187" s="1"/>
      <c r="C187" s="1"/>
      <c r="D187" s="1"/>
      <c r="E187" s="3"/>
      <c r="F187" s="1"/>
      <c r="G187" s="1"/>
      <c r="H187" s="1"/>
      <c r="I187" s="1"/>
      <c r="J187" s="1"/>
      <c r="K187" s="1"/>
      <c r="L187" s="3"/>
      <c r="M187" s="1"/>
      <c r="N187" s="1"/>
    </row>
    <row r="188" spans="1:14" x14ac:dyDescent="0.2">
      <c r="A188" s="1"/>
      <c r="B188" s="1"/>
      <c r="C188" s="1"/>
      <c r="D188" s="211">
        <v>0</v>
      </c>
      <c r="E188" s="3"/>
      <c r="F188" s="211">
        <v>0</v>
      </c>
      <c r="G188" s="1"/>
      <c r="H188" s="1"/>
      <c r="I188" s="1"/>
      <c r="J188" s="5" t="e">
        <f>SEARCH("personeelsplan",E194)</f>
        <v>#VALUE!</v>
      </c>
      <c r="K188" s="1"/>
      <c r="L188" s="3"/>
      <c r="M188" s="1"/>
      <c r="N188" s="1"/>
    </row>
    <row r="189" spans="1:14" x14ac:dyDescent="0.2">
      <c r="A189" s="1"/>
      <c r="B189" s="1"/>
      <c r="C189" s="1"/>
      <c r="D189" s="1"/>
      <c r="E189" s="3"/>
      <c r="F189" s="1"/>
      <c r="G189" s="1"/>
      <c r="H189" s="1"/>
      <c r="I189" s="1"/>
      <c r="J189" s="5">
        <f>ABS(ISERR(J188))</f>
        <v>1</v>
      </c>
      <c r="K189" s="5">
        <f>ABS(IF(J189=0,"1","0"))</f>
        <v>0</v>
      </c>
      <c r="L189" s="3"/>
      <c r="M189" s="1"/>
      <c r="N189" s="1"/>
    </row>
    <row r="190" spans="1:14" x14ac:dyDescent="0.2">
      <c r="A190" s="1"/>
      <c r="B190" s="1"/>
      <c r="C190" s="1"/>
      <c r="D190" s="1"/>
      <c r="E190" s="3" t="s">
        <v>1732</v>
      </c>
      <c r="F190" s="1"/>
      <c r="G190" s="1"/>
      <c r="H190" s="1"/>
      <c r="I190" s="1"/>
      <c r="J190" s="1"/>
      <c r="K190" s="1"/>
      <c r="L190" s="3"/>
      <c r="M190" s="1"/>
      <c r="N190" s="1"/>
    </row>
    <row r="191" spans="1:14" x14ac:dyDescent="0.2">
      <c r="A191" s="1"/>
      <c r="B191" s="1"/>
      <c r="C191" s="1"/>
      <c r="D191" s="1"/>
      <c r="E191" s="3"/>
      <c r="F191" s="1"/>
      <c r="G191" s="1"/>
      <c r="H191" s="1"/>
      <c r="I191" s="1"/>
      <c r="J191" s="1"/>
      <c r="K191" s="1"/>
      <c r="L191" s="3"/>
      <c r="M191" s="1"/>
      <c r="N191" s="1"/>
    </row>
    <row r="192" spans="1:14" x14ac:dyDescent="0.2">
      <c r="A192" s="1"/>
      <c r="B192" s="82" t="s">
        <v>1033</v>
      </c>
      <c r="C192" s="318" t="s">
        <v>995</v>
      </c>
      <c r="D192" s="1"/>
      <c r="E192" s="3" t="s">
        <v>1733</v>
      </c>
      <c r="F192" s="1"/>
      <c r="G192" s="1"/>
      <c r="H192" s="1"/>
      <c r="I192" s="1"/>
      <c r="J192" s="1"/>
      <c r="K192" s="1"/>
      <c r="L192" s="3"/>
      <c r="M192" s="1"/>
      <c r="N192" s="1"/>
    </row>
    <row r="193" spans="1:14" x14ac:dyDescent="0.2">
      <c r="A193" s="1"/>
      <c r="B193" s="52" t="str">
        <f>J193</f>
        <v/>
      </c>
      <c r="C193" s="1"/>
      <c r="D193" s="1"/>
      <c r="E193" s="3"/>
      <c r="F193" s="1"/>
      <c r="G193" s="1"/>
      <c r="H193" s="1"/>
      <c r="I193" s="1"/>
      <c r="J193" s="73" t="str">
        <f>IF(C192="x","Pers.behoefte, Pers.beschikbaarheid en onderaan: personeelsplan.","")</f>
        <v/>
      </c>
      <c r="K193" s="1"/>
      <c r="L193" s="3"/>
      <c r="M193" s="1"/>
      <c r="N193" s="1"/>
    </row>
    <row r="194" spans="1:14" x14ac:dyDescent="0.2">
      <c r="A194" s="1"/>
      <c r="B194" s="1"/>
      <c r="C194" s="1"/>
      <c r="D194" s="1"/>
      <c r="E194" s="211">
        <v>0</v>
      </c>
      <c r="F194" s="1"/>
      <c r="G194" s="1"/>
      <c r="H194" s="1"/>
      <c r="I194" s="1"/>
      <c r="J194" s="1"/>
      <c r="K194" s="1"/>
      <c r="L194" s="3"/>
      <c r="M194" s="1"/>
      <c r="N194" s="1"/>
    </row>
    <row r="195" spans="1:14" x14ac:dyDescent="0.2">
      <c r="A195" s="1"/>
      <c r="B195" s="1"/>
      <c r="C195" s="1"/>
      <c r="D195" s="1"/>
      <c r="E195" s="3"/>
      <c r="F195" s="1"/>
      <c r="G195" s="1"/>
      <c r="H195" s="1"/>
      <c r="I195" s="1"/>
      <c r="J195" s="1"/>
      <c r="K195" s="1"/>
      <c r="L195" s="3"/>
      <c r="M195" s="1"/>
      <c r="N195" s="1"/>
    </row>
    <row r="196" spans="1:14" x14ac:dyDescent="0.2">
      <c r="A196" s="1"/>
      <c r="B196" s="1"/>
      <c r="C196" s="1"/>
      <c r="D196" s="1"/>
      <c r="E196" s="283" t="s">
        <v>1736</v>
      </c>
      <c r="F196" s="1"/>
      <c r="G196" s="1"/>
      <c r="H196" s="1"/>
      <c r="I196" s="1"/>
      <c r="J196" s="1"/>
      <c r="K196" s="1"/>
      <c r="L196" s="3"/>
      <c r="M196" s="1"/>
      <c r="N196" s="1"/>
    </row>
    <row r="197" spans="1:14" x14ac:dyDescent="0.2">
      <c r="A197" s="1"/>
      <c r="B197" s="1"/>
      <c r="C197" s="1"/>
      <c r="D197" s="1"/>
      <c r="E197" s="1"/>
      <c r="F197" s="1"/>
      <c r="G197" s="1"/>
      <c r="H197" s="1"/>
      <c r="I197" s="1"/>
      <c r="J197" s="1"/>
      <c r="K197" s="1"/>
      <c r="L197" s="3"/>
      <c r="M197" s="1"/>
      <c r="N197" s="1"/>
    </row>
    <row r="198" spans="1:14" x14ac:dyDescent="0.2">
      <c r="A198" s="14"/>
      <c r="B198" s="14"/>
      <c r="C198" s="14"/>
      <c r="D198" s="180"/>
      <c r="E198" s="14"/>
      <c r="F198" s="14"/>
      <c r="G198" s="14"/>
      <c r="H198" s="14"/>
      <c r="I198" s="14"/>
      <c r="J198" s="1"/>
      <c r="K198" s="1"/>
      <c r="L198" s="3"/>
      <c r="M198" s="1"/>
      <c r="N198" s="1"/>
    </row>
    <row r="199" spans="1:14" x14ac:dyDescent="0.2">
      <c r="A199" s="1"/>
      <c r="B199" s="1"/>
      <c r="C199" s="1"/>
      <c r="D199" s="1"/>
      <c r="E199" s="1"/>
      <c r="F199" s="1"/>
      <c r="G199" s="1"/>
      <c r="H199" s="1"/>
      <c r="I199" s="1"/>
      <c r="J199" s="1"/>
      <c r="K199" s="1"/>
      <c r="L199" s="3"/>
      <c r="M199" s="1"/>
      <c r="N199" s="1"/>
    </row>
    <row r="200" spans="1:14" ht="26.25" thickBot="1" x14ac:dyDescent="0.25">
      <c r="A200" s="533" t="s">
        <v>1262</v>
      </c>
      <c r="B200" s="103" t="s">
        <v>2277</v>
      </c>
      <c r="C200" s="102" t="s">
        <v>446</v>
      </c>
      <c r="D200" s="102" t="s">
        <v>1623</v>
      </c>
      <c r="E200" s="526" t="s">
        <v>2119</v>
      </c>
      <c r="F200" s="527" t="s">
        <v>2120</v>
      </c>
      <c r="G200" s="1"/>
      <c r="H200" s="1"/>
      <c r="I200" s="1"/>
      <c r="J200" s="1"/>
      <c r="K200" s="1"/>
      <c r="L200" s="3"/>
      <c r="M200" s="3"/>
      <c r="N200" s="1"/>
    </row>
    <row r="201" spans="1:14" ht="13.5" thickTop="1" x14ac:dyDescent="0.2">
      <c r="A201" s="1"/>
      <c r="B201" s="200" t="s">
        <v>2278</v>
      </c>
      <c r="C201" s="425" t="s">
        <v>995</v>
      </c>
      <c r="D201" s="425" t="s">
        <v>995</v>
      </c>
      <c r="E201" s="425" t="s">
        <v>995</v>
      </c>
      <c r="F201" s="425" t="s">
        <v>995</v>
      </c>
      <c r="G201" s="1"/>
      <c r="H201" s="1"/>
      <c r="I201" s="1"/>
      <c r="J201" s="5" t="str">
        <f>IF(C201="x","FOUT","")</f>
        <v/>
      </c>
      <c r="K201" s="5">
        <f>ABS(IF(J201="JUIST","1","0"))</f>
        <v>0</v>
      </c>
      <c r="L201" s="3">
        <v>0</v>
      </c>
      <c r="M201" s="3"/>
      <c r="N201" s="1"/>
    </row>
    <row r="202" spans="1:14" x14ac:dyDescent="0.2">
      <c r="A202" s="1"/>
      <c r="B202" s="61" t="s">
        <v>2279</v>
      </c>
      <c r="C202" s="3" t="s">
        <v>475</v>
      </c>
      <c r="D202" s="3" t="s">
        <v>476</v>
      </c>
      <c r="E202" s="3" t="s">
        <v>477</v>
      </c>
      <c r="F202" s="3" t="s">
        <v>478</v>
      </c>
      <c r="G202" s="1"/>
      <c r="H202" s="1"/>
      <c r="I202" s="1"/>
      <c r="J202" s="5" t="str">
        <f>IF(D201="x","JUIST","")</f>
        <v/>
      </c>
      <c r="K202" s="5">
        <f>ABS(IF(J202="JUIST","1","0"))</f>
        <v>0</v>
      </c>
      <c r="L202" s="3">
        <v>1</v>
      </c>
      <c r="M202" s="3" t="s">
        <v>476</v>
      </c>
      <c r="N202" s="1"/>
    </row>
    <row r="203" spans="1:14" x14ac:dyDescent="0.2">
      <c r="A203" s="1"/>
      <c r="B203" s="67" t="s">
        <v>1739</v>
      </c>
      <c r="C203" s="3"/>
      <c r="D203" s="3"/>
      <c r="E203" s="3"/>
      <c r="F203" s="3"/>
      <c r="G203" s="1"/>
      <c r="H203" s="1"/>
      <c r="I203" s="1"/>
      <c r="J203" s="5" t="str">
        <f>IF(E201="x","FOUT","")</f>
        <v/>
      </c>
      <c r="K203" s="5">
        <f>ABS(IF(J203="JUIST","1","0"))</f>
        <v>0</v>
      </c>
      <c r="L203" s="3">
        <v>0</v>
      </c>
      <c r="M203" s="3"/>
      <c r="N203" s="1"/>
    </row>
    <row r="204" spans="1:14" x14ac:dyDescent="0.2">
      <c r="A204" s="1"/>
      <c r="B204" s="1" t="s">
        <v>2280</v>
      </c>
      <c r="C204" s="1"/>
      <c r="D204" s="1"/>
      <c r="E204" s="1"/>
      <c r="F204" s="1"/>
      <c r="G204" s="1"/>
      <c r="H204" s="1"/>
      <c r="I204" s="1"/>
      <c r="J204" s="5" t="str">
        <f>IF(F201="x","FOUT","")</f>
        <v/>
      </c>
      <c r="K204" s="5">
        <f>ABS(IF(J204="JUIST","1","0"))</f>
        <v>0</v>
      </c>
      <c r="L204" s="3"/>
      <c r="M204" s="3"/>
      <c r="N204" s="1"/>
    </row>
    <row r="205" spans="1:14" x14ac:dyDescent="0.2">
      <c r="A205" s="1"/>
      <c r="B205" s="80" t="s">
        <v>333</v>
      </c>
      <c r="C205" s="1"/>
      <c r="D205" s="1"/>
      <c r="E205" s="1"/>
      <c r="F205" s="1"/>
      <c r="G205" s="1"/>
      <c r="H205" s="1"/>
      <c r="I205" s="1"/>
      <c r="J205" s="1"/>
      <c r="L205" s="3" t="s">
        <v>995</v>
      </c>
      <c r="M205" s="3"/>
      <c r="N205" s="1"/>
    </row>
    <row r="206" spans="1:14" x14ac:dyDescent="0.2">
      <c r="A206" s="1"/>
      <c r="B206" s="81" t="s">
        <v>895</v>
      </c>
      <c r="C206" s="1"/>
      <c r="D206" s="1"/>
      <c r="E206" s="1"/>
      <c r="F206" s="1"/>
      <c r="G206" s="1"/>
      <c r="H206" s="1"/>
      <c r="I206" s="1"/>
      <c r="J206" s="79" t="s">
        <v>995</v>
      </c>
      <c r="K206" s="1"/>
      <c r="L206" s="3"/>
      <c r="M206" s="5" t="s">
        <v>25</v>
      </c>
      <c r="N206" s="1"/>
    </row>
    <row r="207" spans="1:14" x14ac:dyDescent="0.2">
      <c r="A207" s="1"/>
      <c r="C207" s="1"/>
      <c r="D207" s="1"/>
      <c r="E207" s="1"/>
      <c r="G207" s="1"/>
      <c r="H207" s="1"/>
      <c r="I207" s="1"/>
      <c r="K207" s="1"/>
      <c r="L207" s="3"/>
      <c r="M207" s="5">
        <v>0</v>
      </c>
      <c r="N207" s="1"/>
    </row>
    <row r="208" spans="1:14" x14ac:dyDescent="0.2">
      <c r="A208" s="1"/>
      <c r="B208" s="82" t="s">
        <v>1033</v>
      </c>
      <c r="C208" s="318" t="s">
        <v>995</v>
      </c>
      <c r="D208" s="1"/>
      <c r="E208" s="1"/>
      <c r="F208" s="79"/>
      <c r="G208" s="1"/>
      <c r="H208" s="1"/>
      <c r="I208" s="1"/>
      <c r="J208" s="1"/>
      <c r="K208" s="1"/>
      <c r="L208" s="3"/>
      <c r="M208" s="5">
        <v>0</v>
      </c>
      <c r="N208" s="1"/>
    </row>
    <row r="209" spans="1:14" x14ac:dyDescent="0.2">
      <c r="A209" s="1"/>
      <c r="B209" s="52" t="str">
        <f>J209</f>
        <v/>
      </c>
      <c r="C209" s="1"/>
      <c r="D209" s="1"/>
      <c r="E209" s="1"/>
      <c r="F209" s="252"/>
      <c r="G209" s="1"/>
      <c r="H209" s="1"/>
      <c r="I209" s="1"/>
      <c r="J209" s="73" t="str">
        <f>IF(C208="x","Het juiste antwoord is: B","")</f>
        <v/>
      </c>
      <c r="K209" s="1"/>
      <c r="L209" s="3"/>
      <c r="M209" s="3"/>
      <c r="N209" s="1"/>
    </row>
    <row r="210" spans="1:14" x14ac:dyDescent="0.2">
      <c r="A210" s="14"/>
      <c r="B210" s="14"/>
      <c r="C210" s="14"/>
      <c r="D210" s="180"/>
      <c r="E210" s="14"/>
      <c r="F210" s="14"/>
      <c r="G210" s="14"/>
      <c r="H210" s="14"/>
      <c r="I210" s="14"/>
      <c r="J210" s="1"/>
      <c r="K210" s="1"/>
      <c r="L210" s="3"/>
      <c r="M210" s="1"/>
      <c r="N210" s="1"/>
    </row>
    <row r="211" spans="1:14" x14ac:dyDescent="0.2">
      <c r="A211" s="1"/>
      <c r="B211" s="1"/>
      <c r="C211" s="1"/>
      <c r="D211" s="1"/>
      <c r="E211" s="1"/>
      <c r="F211" s="1"/>
      <c r="G211" s="1"/>
      <c r="H211" s="1"/>
      <c r="I211" s="1"/>
      <c r="J211" s="1"/>
      <c r="K211" s="1"/>
      <c r="L211" s="3"/>
      <c r="M211" s="1"/>
      <c r="N211" s="1"/>
    </row>
    <row r="212" spans="1:14" ht="26.25" thickBot="1" x14ac:dyDescent="0.25">
      <c r="A212" s="67" t="s">
        <v>300</v>
      </c>
      <c r="B212" s="103" t="s">
        <v>2281</v>
      </c>
      <c r="C212" s="102" t="s">
        <v>446</v>
      </c>
      <c r="D212" s="102" t="s">
        <v>1623</v>
      </c>
      <c r="E212" s="526" t="s">
        <v>2119</v>
      </c>
      <c r="F212" s="527" t="s">
        <v>2120</v>
      </c>
      <c r="G212" s="1"/>
      <c r="H212" s="1"/>
      <c r="I212" s="1"/>
      <c r="J212" s="1"/>
      <c r="K212" s="1"/>
      <c r="L212" s="3"/>
      <c r="M212" s="3"/>
      <c r="N212" s="1"/>
    </row>
    <row r="213" spans="1:14" ht="13.5" thickTop="1" x14ac:dyDescent="0.2">
      <c r="A213" s="1"/>
      <c r="B213" s="2" t="s">
        <v>2282</v>
      </c>
      <c r="C213" s="425" t="s">
        <v>995</v>
      </c>
      <c r="D213" s="425" t="s">
        <v>995</v>
      </c>
      <c r="E213" s="425" t="s">
        <v>995</v>
      </c>
      <c r="F213" s="425" t="s">
        <v>995</v>
      </c>
      <c r="G213" s="1"/>
      <c r="H213" s="1"/>
      <c r="I213" s="1"/>
      <c r="J213" s="5" t="str">
        <f>IF(C213="x","FOUT","")</f>
        <v/>
      </c>
      <c r="K213" s="5">
        <f>ABS(IF(J213="JUIST","1","0"))</f>
        <v>0</v>
      </c>
      <c r="L213" s="3">
        <v>0</v>
      </c>
      <c r="M213" s="3"/>
      <c r="N213" s="1"/>
    </row>
    <row r="214" spans="1:14" x14ac:dyDescent="0.2">
      <c r="A214" s="1"/>
      <c r="B214" s="61" t="s">
        <v>2641</v>
      </c>
      <c r="C214" s="3" t="s">
        <v>475</v>
      </c>
      <c r="D214" s="3" t="s">
        <v>476</v>
      </c>
      <c r="E214" s="3" t="s">
        <v>477</v>
      </c>
      <c r="F214" s="3" t="s">
        <v>478</v>
      </c>
      <c r="G214" s="1"/>
      <c r="H214" s="1"/>
      <c r="I214" s="1"/>
      <c r="J214" s="5" t="str">
        <f>IF(D213="x","FOUT","")</f>
        <v/>
      </c>
      <c r="K214" s="5">
        <f>ABS(IF(J214="JUIST","1","0"))</f>
        <v>0</v>
      </c>
      <c r="L214" s="3">
        <v>0</v>
      </c>
      <c r="M214" s="3"/>
      <c r="N214" s="1"/>
    </row>
    <row r="215" spans="1:14" x14ac:dyDescent="0.2">
      <c r="A215" s="1"/>
      <c r="B215" s="519" t="s">
        <v>2642</v>
      </c>
      <c r="C215" s="3"/>
      <c r="D215" s="3"/>
      <c r="E215" s="3"/>
      <c r="F215" s="3"/>
      <c r="G215" s="1"/>
      <c r="H215" s="1"/>
      <c r="I215" s="1"/>
      <c r="J215" s="5" t="str">
        <f>IF(E213="x","FOUT","")</f>
        <v/>
      </c>
      <c r="K215" s="5">
        <f>ABS(IF(J215="JUIST","1","0"))</f>
        <v>0</v>
      </c>
      <c r="L215" s="3">
        <v>0</v>
      </c>
      <c r="M215" s="3"/>
      <c r="N215" s="1"/>
    </row>
    <row r="216" spans="1:14" x14ac:dyDescent="0.2">
      <c r="A216" s="1"/>
      <c r="B216" s="1" t="s">
        <v>995</v>
      </c>
      <c r="C216" s="1"/>
      <c r="D216" s="1"/>
      <c r="E216" s="1"/>
      <c r="F216" s="1"/>
      <c r="G216" s="1"/>
      <c r="H216" s="1"/>
      <c r="I216" s="1"/>
      <c r="J216" s="5" t="str">
        <f>IF(F213="x","JUIST","")</f>
        <v/>
      </c>
      <c r="K216" s="5">
        <f>ABS(IF(J216="JUIST","1","0"))</f>
        <v>0</v>
      </c>
      <c r="L216" s="3">
        <v>1</v>
      </c>
      <c r="M216" s="3" t="s">
        <v>478</v>
      </c>
      <c r="N216" s="1"/>
    </row>
    <row r="217" spans="1:14" x14ac:dyDescent="0.2">
      <c r="A217" s="1"/>
      <c r="B217" s="80" t="s">
        <v>333</v>
      </c>
      <c r="C217" s="1"/>
      <c r="D217" s="1"/>
      <c r="E217" s="1"/>
      <c r="F217" s="1"/>
      <c r="G217" s="1"/>
      <c r="H217" s="1"/>
      <c r="I217" s="1"/>
      <c r="J217" s="1"/>
      <c r="L217" s="3" t="s">
        <v>995</v>
      </c>
      <c r="M217" s="3"/>
      <c r="N217" s="1"/>
    </row>
    <row r="218" spans="1:14" x14ac:dyDescent="0.2">
      <c r="A218" s="1"/>
      <c r="B218" s="81" t="s">
        <v>895</v>
      </c>
      <c r="C218" s="1"/>
      <c r="D218" s="1"/>
      <c r="E218" s="1"/>
      <c r="F218" s="1"/>
      <c r="G218" s="1"/>
      <c r="H218" s="1"/>
      <c r="I218" s="1"/>
      <c r="J218" s="79" t="s">
        <v>995</v>
      </c>
      <c r="K218" s="1"/>
      <c r="L218" s="3"/>
      <c r="M218" s="5" t="s">
        <v>25</v>
      </c>
      <c r="N218" s="1"/>
    </row>
    <row r="219" spans="1:14" x14ac:dyDescent="0.2">
      <c r="A219" s="1"/>
      <c r="C219" s="1"/>
      <c r="D219" s="1"/>
      <c r="E219" s="1"/>
      <c r="G219" s="1"/>
      <c r="H219" s="1"/>
      <c r="I219" s="1"/>
      <c r="K219" s="1"/>
      <c r="L219" s="3"/>
      <c r="M219" s="5">
        <v>0</v>
      </c>
      <c r="N219" s="1"/>
    </row>
    <row r="220" spans="1:14" x14ac:dyDescent="0.2">
      <c r="A220" s="1"/>
      <c r="B220" s="82" t="s">
        <v>1033</v>
      </c>
      <c r="C220" s="318" t="s">
        <v>995</v>
      </c>
      <c r="D220" s="1"/>
      <c r="E220" s="1"/>
      <c r="F220" s="79"/>
      <c r="G220" s="1"/>
      <c r="H220" s="1"/>
      <c r="I220" s="1"/>
      <c r="J220" s="1"/>
      <c r="K220" s="1"/>
      <c r="L220" s="3"/>
      <c r="M220" s="5">
        <v>0</v>
      </c>
      <c r="N220" s="1"/>
    </row>
    <row r="221" spans="1:14" x14ac:dyDescent="0.2">
      <c r="A221" s="1"/>
      <c r="B221" s="52" t="str">
        <f>J221</f>
        <v/>
      </c>
      <c r="C221" s="1"/>
      <c r="D221" s="1"/>
      <c r="E221" s="1"/>
      <c r="F221" s="252"/>
      <c r="G221" s="1"/>
      <c r="H221" s="1"/>
      <c r="I221" s="1"/>
      <c r="J221" s="73" t="str">
        <f>IF(C220="x","Het juiste antwoord is: D ('instinkers'!).","")</f>
        <v/>
      </c>
      <c r="K221" s="1"/>
      <c r="L221" s="3"/>
      <c r="M221" s="3"/>
      <c r="N221" s="1"/>
    </row>
    <row r="222" spans="1:14" x14ac:dyDescent="0.2">
      <c r="A222" s="14"/>
      <c r="B222" s="14"/>
      <c r="C222" s="14"/>
      <c r="D222" s="180"/>
      <c r="E222" s="14"/>
      <c r="F222" s="14"/>
      <c r="G222" s="14"/>
      <c r="H222" s="14"/>
      <c r="I222" s="14"/>
      <c r="J222" s="1"/>
      <c r="K222" s="1"/>
      <c r="L222" s="3"/>
      <c r="M222" s="1"/>
      <c r="N222" s="1"/>
    </row>
    <row r="223" spans="1:14" x14ac:dyDescent="0.2">
      <c r="A223" s="1"/>
      <c r="B223" s="1"/>
      <c r="C223" s="1"/>
      <c r="D223" s="1"/>
      <c r="E223" s="1"/>
      <c r="F223" s="1"/>
      <c r="G223" s="1"/>
      <c r="H223" s="1"/>
      <c r="I223" s="1"/>
      <c r="J223" s="1"/>
      <c r="K223" s="1"/>
      <c r="L223" s="3"/>
      <c r="M223" s="1"/>
      <c r="N223" s="1"/>
    </row>
    <row r="224" spans="1:14" x14ac:dyDescent="0.2">
      <c r="A224" s="67" t="s">
        <v>307</v>
      </c>
      <c r="B224" s="1" t="s">
        <v>2283</v>
      </c>
      <c r="C224" s="1"/>
      <c r="E224" s="1"/>
      <c r="F224" s="1"/>
      <c r="G224" s="1"/>
      <c r="H224" s="1"/>
      <c r="I224" s="1"/>
      <c r="J224" s="5" t="e">
        <f>SEARCH("afzetmarkt",D227)</f>
        <v>#VALUE!</v>
      </c>
      <c r="K224" s="1"/>
      <c r="L224" s="3"/>
      <c r="M224" s="1"/>
      <c r="N224" s="1"/>
    </row>
    <row r="225" spans="1:14" x14ac:dyDescent="0.2">
      <c r="A225" s="1"/>
      <c r="B225" s="1" t="s">
        <v>1100</v>
      </c>
      <c r="C225" s="1"/>
      <c r="D225" s="3" t="s">
        <v>1084</v>
      </c>
      <c r="E225" s="1"/>
      <c r="F225" s="1"/>
      <c r="G225" s="1"/>
      <c r="H225" s="1"/>
      <c r="I225" s="1"/>
      <c r="J225" s="5">
        <f>ABS(ISERR(J224))</f>
        <v>1</v>
      </c>
      <c r="K225" s="5">
        <f>ABS(IF(J225=0,"1","0"))</f>
        <v>0</v>
      </c>
      <c r="L225" s="3">
        <v>1</v>
      </c>
      <c r="M225" s="1" t="s">
        <v>1835</v>
      </c>
      <c r="N225" s="1"/>
    </row>
    <row r="226" spans="1:14" x14ac:dyDescent="0.2">
      <c r="A226" s="1"/>
      <c r="B226" s="1" t="s">
        <v>995</v>
      </c>
      <c r="C226" s="1"/>
      <c r="D226" s="3" t="s">
        <v>1085</v>
      </c>
      <c r="E226" s="1"/>
      <c r="F226" s="1"/>
      <c r="G226" s="1"/>
      <c r="H226" s="1"/>
      <c r="I226" s="1"/>
      <c r="J226" s="5" t="e">
        <f>SEARCH("klantbehoefte",D227)</f>
        <v>#VALUE!</v>
      </c>
      <c r="K226" s="1"/>
      <c r="L226" s="3"/>
      <c r="M226" s="1"/>
      <c r="N226" s="1"/>
    </row>
    <row r="227" spans="1:14" x14ac:dyDescent="0.2">
      <c r="A227" s="1"/>
      <c r="B227" s="81" t="s">
        <v>1083</v>
      </c>
      <c r="C227" s="1"/>
      <c r="D227" s="10">
        <v>0</v>
      </c>
      <c r="E227" s="1"/>
      <c r="F227" s="1"/>
      <c r="G227" s="1"/>
      <c r="H227" s="1"/>
      <c r="I227" s="1"/>
      <c r="J227" s="5">
        <f>ABS(ISERR(J226))</f>
        <v>1</v>
      </c>
      <c r="K227" s="5">
        <f>ABS(IF(J227=0,"0,5","0"))</f>
        <v>0</v>
      </c>
      <c r="L227" s="3"/>
      <c r="M227" s="1"/>
      <c r="N227" s="1"/>
    </row>
    <row r="228" spans="1:14" x14ac:dyDescent="0.2">
      <c r="A228" s="1"/>
      <c r="B228" s="1"/>
      <c r="C228" s="1"/>
      <c r="D228" s="1"/>
      <c r="E228" s="1"/>
      <c r="F228" s="1"/>
      <c r="G228" s="1"/>
      <c r="H228" s="1"/>
      <c r="I228" s="1"/>
      <c r="J228" s="5" t="e">
        <f>SEARCH("klantvraag",D227)</f>
        <v>#VALUE!</v>
      </c>
      <c r="K228" s="1"/>
      <c r="L228" s="3"/>
      <c r="M228" s="1"/>
      <c r="N228" s="1"/>
    </row>
    <row r="229" spans="1:14" x14ac:dyDescent="0.2">
      <c r="A229" s="1"/>
      <c r="B229" s="1"/>
      <c r="C229" s="1"/>
      <c r="D229" s="1"/>
      <c r="E229" s="1"/>
      <c r="F229" s="1"/>
      <c r="G229" s="1"/>
      <c r="H229" s="1"/>
      <c r="I229" s="1"/>
      <c r="J229" s="5">
        <f>ABS(ISERR(J228))</f>
        <v>1</v>
      </c>
      <c r="K229" s="5">
        <f>ABS(IF(J229=0,"0,5","0"))</f>
        <v>0</v>
      </c>
      <c r="L229" s="3"/>
      <c r="M229" s="1"/>
      <c r="N229" s="1"/>
    </row>
    <row r="230" spans="1:14" x14ac:dyDescent="0.2">
      <c r="A230" s="1"/>
      <c r="B230" s="82" t="s">
        <v>1033</v>
      </c>
      <c r="C230" s="318" t="s">
        <v>995</v>
      </c>
      <c r="D230" s="1"/>
      <c r="E230" s="1"/>
      <c r="F230" s="79"/>
      <c r="G230" s="1"/>
      <c r="H230" s="1"/>
      <c r="I230" s="1"/>
      <c r="J230" s="1"/>
      <c r="K230" s="1"/>
      <c r="L230" s="3"/>
      <c r="M230" s="1"/>
      <c r="N230" s="1"/>
    </row>
    <row r="231" spans="1:14" x14ac:dyDescent="0.2">
      <c r="A231" s="1"/>
      <c r="B231" s="52" t="str">
        <f>J231</f>
        <v/>
      </c>
      <c r="C231" s="1"/>
      <c r="D231" s="1"/>
      <c r="E231" s="1"/>
      <c r="F231" s="252"/>
      <c r="G231" s="1"/>
      <c r="H231" s="1"/>
      <c r="I231" s="1"/>
      <c r="J231" s="73" t="str">
        <f>IF(C230="x","Het juiste antwoord is: Afzetmarkt. Half goed: klantbehoefte of klantvraag.","")</f>
        <v/>
      </c>
      <c r="K231" s="1"/>
      <c r="L231" s="3"/>
      <c r="M231" s="1"/>
      <c r="N231" s="1"/>
    </row>
    <row r="232" spans="1:14" x14ac:dyDescent="0.2">
      <c r="A232" s="14"/>
      <c r="B232" s="14"/>
      <c r="C232" s="14"/>
      <c r="D232" s="180"/>
      <c r="E232" s="14"/>
      <c r="F232" s="14"/>
      <c r="G232" s="14"/>
      <c r="H232" s="14"/>
      <c r="I232" s="14"/>
      <c r="J232" s="1"/>
      <c r="K232" s="1"/>
      <c r="L232" s="3"/>
      <c r="M232" s="1"/>
      <c r="N232" s="1"/>
    </row>
    <row r="233" spans="1:14" x14ac:dyDescent="0.2">
      <c r="A233" s="1"/>
      <c r="B233" s="1"/>
      <c r="C233" s="1"/>
      <c r="D233" s="174"/>
      <c r="E233" s="1"/>
      <c r="F233" s="1"/>
      <c r="G233" s="1"/>
      <c r="H233" s="1"/>
      <c r="I233" s="1"/>
      <c r="J233" s="1"/>
      <c r="K233" s="1"/>
      <c r="L233" s="3"/>
      <c r="M233" s="1"/>
      <c r="N233" s="1"/>
    </row>
    <row r="234" spans="1:14" x14ac:dyDescent="0.2">
      <c r="A234" s="1"/>
      <c r="B234" s="1"/>
      <c r="C234" s="1"/>
      <c r="D234" s="1"/>
      <c r="E234" s="1"/>
      <c r="F234" s="1"/>
      <c r="G234" s="1"/>
      <c r="H234" s="1"/>
      <c r="I234" s="1"/>
      <c r="J234" s="1"/>
      <c r="K234" s="1"/>
      <c r="L234" s="3"/>
      <c r="M234" s="1"/>
      <c r="N234" s="1"/>
    </row>
    <row r="235" spans="1:14" x14ac:dyDescent="0.2">
      <c r="A235" s="67" t="s">
        <v>314</v>
      </c>
      <c r="B235" s="171" t="s">
        <v>1086</v>
      </c>
      <c r="C235" s="1"/>
      <c r="E235" s="1"/>
      <c r="F235" s="1"/>
      <c r="G235" s="1"/>
      <c r="H235" s="1"/>
      <c r="I235" s="1"/>
      <c r="J235" s="1"/>
      <c r="K235" s="1"/>
      <c r="L235" s="3"/>
      <c r="M235" s="1"/>
      <c r="N235" s="1"/>
    </row>
    <row r="236" spans="1:14" x14ac:dyDescent="0.2">
      <c r="A236" s="1"/>
      <c r="B236" s="1" t="s">
        <v>2284</v>
      </c>
      <c r="C236" s="1"/>
      <c r="D236" s="5" t="s">
        <v>1089</v>
      </c>
      <c r="E236" s="5" t="s">
        <v>1088</v>
      </c>
      <c r="F236" s="1"/>
      <c r="G236" s="1"/>
      <c r="H236" s="1"/>
      <c r="I236" s="1"/>
      <c r="J236" s="1"/>
      <c r="K236" s="1"/>
      <c r="L236" s="3"/>
      <c r="M236" s="1"/>
      <c r="N236" s="1"/>
    </row>
    <row r="237" spans="1:14" x14ac:dyDescent="0.2">
      <c r="A237" s="1"/>
      <c r="B237" s="1" t="s">
        <v>1087</v>
      </c>
      <c r="C237" s="1"/>
      <c r="D237" s="318" t="s">
        <v>995</v>
      </c>
      <c r="E237" s="318" t="s">
        <v>995</v>
      </c>
      <c r="F237" s="1"/>
      <c r="G237" s="1"/>
      <c r="H237" s="1"/>
      <c r="I237" s="1"/>
      <c r="J237" s="5" t="str">
        <f>IF(D237="x","FOUT","")</f>
        <v/>
      </c>
      <c r="K237" s="5">
        <f>ABS(IF(J237="JUIST","1","0"))</f>
        <v>0</v>
      </c>
      <c r="L237" s="3" t="s">
        <v>995</v>
      </c>
      <c r="N237" s="1"/>
    </row>
    <row r="238" spans="1:14" x14ac:dyDescent="0.2">
      <c r="A238" s="1"/>
      <c r="B238" s="80" t="s">
        <v>333</v>
      </c>
      <c r="C238" s="1"/>
      <c r="D238" s="1"/>
      <c r="E238" s="1"/>
      <c r="F238" s="1"/>
      <c r="G238" s="1"/>
      <c r="H238" s="1"/>
      <c r="I238" s="1"/>
      <c r="J238" s="5" t="str">
        <f>IF(E237="x","JUIST","")</f>
        <v/>
      </c>
      <c r="K238" s="5">
        <f>ABS(IF(J238="JUIST","1","0"))</f>
        <v>0</v>
      </c>
      <c r="L238" s="3">
        <v>1</v>
      </c>
      <c r="M238" s="1" t="s">
        <v>1834</v>
      </c>
      <c r="N238" s="1"/>
    </row>
    <row r="239" spans="1:14" x14ac:dyDescent="0.2">
      <c r="A239" s="1"/>
      <c r="B239" s="81" t="s">
        <v>1090</v>
      </c>
      <c r="C239" s="1"/>
      <c r="D239" s="1"/>
      <c r="E239" s="1"/>
      <c r="F239" s="1"/>
      <c r="G239" s="1"/>
      <c r="H239" s="1"/>
      <c r="I239" s="1"/>
      <c r="J239" s="1"/>
      <c r="K239" s="1"/>
      <c r="L239" s="3"/>
      <c r="M239" s="1"/>
      <c r="N239" s="1"/>
    </row>
    <row r="240" spans="1:14" x14ac:dyDescent="0.2">
      <c r="A240" s="1"/>
      <c r="B240" s="81"/>
      <c r="C240" s="1"/>
      <c r="D240" s="1"/>
      <c r="E240" s="1"/>
      <c r="F240" s="1"/>
      <c r="G240" s="1"/>
      <c r="H240" s="1"/>
      <c r="I240" s="1"/>
      <c r="J240" s="1"/>
      <c r="K240" s="1"/>
      <c r="L240" s="3"/>
      <c r="M240" s="1"/>
      <c r="N240" s="1"/>
    </row>
    <row r="241" spans="1:14" x14ac:dyDescent="0.2">
      <c r="A241" s="1"/>
      <c r="B241" s="81"/>
      <c r="C241" s="1"/>
      <c r="D241" s="1"/>
      <c r="E241" s="1"/>
      <c r="F241" s="1"/>
      <c r="G241" s="1"/>
      <c r="H241" s="1"/>
      <c r="I241" s="1"/>
      <c r="J241" s="1"/>
      <c r="K241" s="1"/>
      <c r="L241" s="3"/>
      <c r="M241" s="1"/>
      <c r="N241" s="1"/>
    </row>
    <row r="242" spans="1:14" x14ac:dyDescent="0.2">
      <c r="A242" s="1"/>
      <c r="B242" s="81"/>
      <c r="C242" s="1"/>
      <c r="D242" s="1"/>
      <c r="E242" s="1"/>
      <c r="F242" s="1"/>
      <c r="G242" s="1"/>
      <c r="H242" s="1"/>
      <c r="I242" s="1"/>
      <c r="J242" s="1"/>
      <c r="K242" s="1"/>
      <c r="L242" s="3"/>
      <c r="M242" s="1"/>
      <c r="N242" s="1"/>
    </row>
    <row r="243" spans="1:14" x14ac:dyDescent="0.2">
      <c r="A243" s="1"/>
      <c r="B243" s="1"/>
      <c r="C243" s="1"/>
      <c r="D243" s="1"/>
      <c r="E243" s="1"/>
      <c r="F243" s="1"/>
      <c r="G243" s="1"/>
      <c r="H243" s="1"/>
      <c r="I243" s="1"/>
      <c r="J243" s="1"/>
      <c r="K243" s="1"/>
      <c r="L243" s="3"/>
      <c r="M243" s="1"/>
      <c r="N243" s="1"/>
    </row>
    <row r="244" spans="1:14" x14ac:dyDescent="0.2">
      <c r="A244" s="14"/>
      <c r="B244" s="14"/>
      <c r="C244" s="14"/>
      <c r="D244" s="180"/>
      <c r="E244" s="14"/>
      <c r="F244" s="14"/>
      <c r="G244" s="14"/>
      <c r="H244" s="14"/>
      <c r="I244" s="14"/>
      <c r="J244" s="1"/>
      <c r="K244" s="1"/>
      <c r="L244" s="3"/>
      <c r="M244" s="1"/>
      <c r="N244" s="1"/>
    </row>
    <row r="245" spans="1:14" x14ac:dyDescent="0.2">
      <c r="A245" s="1"/>
      <c r="B245" s="1"/>
      <c r="C245" s="1"/>
      <c r="D245" s="1"/>
      <c r="E245" s="1"/>
      <c r="F245" s="1"/>
      <c r="G245" s="1"/>
      <c r="H245" s="1"/>
      <c r="I245" s="1"/>
      <c r="J245" s="1"/>
      <c r="K245" s="1"/>
      <c r="L245" s="3"/>
      <c r="M245" s="1"/>
      <c r="N245" s="1"/>
    </row>
    <row r="246" spans="1:14" ht="39" thickBot="1" x14ac:dyDescent="0.25">
      <c r="A246" s="533" t="s">
        <v>315</v>
      </c>
      <c r="B246" s="103" t="s">
        <v>2285</v>
      </c>
      <c r="C246" s="102" t="s">
        <v>446</v>
      </c>
      <c r="D246" s="102" t="s">
        <v>1623</v>
      </c>
      <c r="E246" s="526" t="s">
        <v>2119</v>
      </c>
      <c r="F246" s="527" t="s">
        <v>2120</v>
      </c>
      <c r="G246" s="1"/>
      <c r="H246" s="1"/>
      <c r="I246" s="1"/>
      <c r="J246" s="1"/>
      <c r="K246" s="1"/>
      <c r="L246" s="3"/>
      <c r="M246" s="3"/>
      <c r="N246" s="1"/>
    </row>
    <row r="247" spans="1:14" ht="13.5" thickTop="1" x14ac:dyDescent="0.2">
      <c r="A247" s="1"/>
      <c r="B247" s="200" t="s">
        <v>2747</v>
      </c>
      <c r="C247" s="425" t="s">
        <v>995</v>
      </c>
      <c r="D247" s="425" t="s">
        <v>995</v>
      </c>
      <c r="E247" s="425" t="s">
        <v>995</v>
      </c>
      <c r="F247" s="425" t="s">
        <v>995</v>
      </c>
      <c r="G247" s="1"/>
      <c r="H247" s="1"/>
      <c r="I247" s="1"/>
      <c r="J247" s="5" t="str">
        <f>IF(C247="x","JUIST","")</f>
        <v/>
      </c>
      <c r="K247" s="5">
        <f>ABS(IF(J247="JUIST","1","0"))</f>
        <v>0</v>
      </c>
      <c r="L247" s="3">
        <v>1</v>
      </c>
      <c r="M247" s="3" t="s">
        <v>475</v>
      </c>
      <c r="N247" s="1"/>
    </row>
    <row r="248" spans="1:14" x14ac:dyDescent="0.2">
      <c r="A248" s="1"/>
      <c r="B248" s="61" t="s">
        <v>2286</v>
      </c>
      <c r="C248" s="3" t="s">
        <v>475</v>
      </c>
      <c r="D248" s="3" t="s">
        <v>476</v>
      </c>
      <c r="E248" s="3" t="s">
        <v>477</v>
      </c>
      <c r="F248" s="3" t="s">
        <v>478</v>
      </c>
      <c r="G248" s="1"/>
      <c r="H248" s="1"/>
      <c r="I248" s="1"/>
      <c r="J248" s="5" t="str">
        <f>IF(D247="x","FOUT","")</f>
        <v/>
      </c>
      <c r="K248" s="5">
        <f>ABS(IF(J248="JUIST","1","0"))</f>
        <v>0</v>
      </c>
      <c r="L248" s="3">
        <v>0</v>
      </c>
      <c r="M248" s="3"/>
      <c r="N248" s="1"/>
    </row>
    <row r="249" spans="1:14" x14ac:dyDescent="0.2">
      <c r="A249" s="1"/>
      <c r="B249" s="519" t="s">
        <v>2287</v>
      </c>
      <c r="C249" s="3"/>
      <c r="D249" s="3"/>
      <c r="E249" s="3"/>
      <c r="F249" s="3"/>
      <c r="G249" s="1"/>
      <c r="H249" s="1"/>
      <c r="I249" s="1"/>
      <c r="J249" s="5" t="str">
        <f>IF(E247="x","FOUT","")</f>
        <v/>
      </c>
      <c r="K249" s="5">
        <f>ABS(IF(J249="JUIST","1","0"))</f>
        <v>0</v>
      </c>
      <c r="L249" s="3">
        <v>0</v>
      </c>
      <c r="M249" s="3"/>
      <c r="N249" s="1"/>
    </row>
    <row r="250" spans="1:14" x14ac:dyDescent="0.2">
      <c r="A250" s="1"/>
      <c r="B250" s="1" t="s">
        <v>995</v>
      </c>
      <c r="C250" s="1"/>
      <c r="D250" s="1"/>
      <c r="E250" s="1"/>
      <c r="F250" s="1"/>
      <c r="G250" s="1"/>
      <c r="H250" s="1"/>
      <c r="I250" s="1"/>
      <c r="J250" s="5" t="str">
        <f>IF(F247="x","FOUT","")</f>
        <v/>
      </c>
      <c r="K250" s="5">
        <f>ABS(IF(J250="JUIST","1","0"))</f>
        <v>0</v>
      </c>
      <c r="L250" s="3">
        <v>0</v>
      </c>
      <c r="M250" s="3"/>
      <c r="N250" s="1"/>
    </row>
    <row r="251" spans="1:14" x14ac:dyDescent="0.2">
      <c r="A251" s="1"/>
      <c r="B251" s="80" t="s">
        <v>333</v>
      </c>
      <c r="C251" s="1"/>
      <c r="D251" s="1"/>
      <c r="E251" s="1"/>
      <c r="F251" s="1"/>
      <c r="G251" s="1"/>
      <c r="H251" s="1"/>
      <c r="I251" s="1"/>
      <c r="J251" s="1"/>
      <c r="L251" s="3" t="s">
        <v>995</v>
      </c>
      <c r="M251" s="3"/>
      <c r="N251" s="1"/>
    </row>
    <row r="252" spans="1:14" x14ac:dyDescent="0.2">
      <c r="A252" s="1"/>
      <c r="B252" s="81" t="s">
        <v>895</v>
      </c>
      <c r="C252" s="1"/>
      <c r="D252" s="1"/>
      <c r="E252" s="1"/>
      <c r="F252" s="1"/>
      <c r="G252" s="1"/>
      <c r="H252" s="1"/>
      <c r="I252" s="1"/>
      <c r="J252" s="79" t="s">
        <v>995</v>
      </c>
      <c r="K252" s="1"/>
      <c r="L252" s="3"/>
      <c r="M252" s="5" t="s">
        <v>25</v>
      </c>
      <c r="N252" s="1"/>
    </row>
    <row r="253" spans="1:14" x14ac:dyDescent="0.2">
      <c r="A253" s="1"/>
      <c r="C253" s="1"/>
      <c r="D253" s="1"/>
      <c r="E253" s="1"/>
      <c r="G253" s="1"/>
      <c r="H253" s="1"/>
      <c r="I253" s="1"/>
      <c r="K253" s="1"/>
      <c r="L253" s="3"/>
      <c r="M253" s="5">
        <v>0</v>
      </c>
      <c r="N253" s="1"/>
    </row>
    <row r="254" spans="1:14" x14ac:dyDescent="0.2">
      <c r="A254" s="1"/>
      <c r="B254" s="82" t="s">
        <v>1033</v>
      </c>
      <c r="C254" s="318" t="s">
        <v>995</v>
      </c>
      <c r="D254" s="1"/>
      <c r="E254" s="1"/>
      <c r="F254" s="79"/>
      <c r="G254" s="1"/>
      <c r="H254" s="1"/>
      <c r="I254" s="1"/>
      <c r="J254" s="1"/>
      <c r="K254" s="1"/>
      <c r="L254" s="3"/>
      <c r="M254" s="5">
        <v>0</v>
      </c>
      <c r="N254" s="1"/>
    </row>
    <row r="255" spans="1:14" x14ac:dyDescent="0.2">
      <c r="A255" s="1"/>
      <c r="B255" s="52" t="str">
        <f>J255</f>
        <v/>
      </c>
      <c r="C255" s="1"/>
      <c r="D255" s="1"/>
      <c r="E255" s="1"/>
      <c r="F255" s="252"/>
      <c r="G255" s="1"/>
      <c r="H255" s="1"/>
      <c r="I255" s="1"/>
      <c r="J255" s="73" t="str">
        <f>IF(C254="x","Het juiste antwoord is: A .","")</f>
        <v/>
      </c>
      <c r="K255" s="1"/>
      <c r="L255" s="3"/>
      <c r="M255" s="3"/>
      <c r="N255" s="1"/>
    </row>
    <row r="256" spans="1:14" x14ac:dyDescent="0.2">
      <c r="A256" s="14"/>
      <c r="B256" s="14"/>
      <c r="C256" s="14"/>
      <c r="D256" s="180"/>
      <c r="E256" s="14"/>
      <c r="F256" s="14"/>
      <c r="G256" s="14"/>
      <c r="H256" s="14"/>
      <c r="I256" s="14"/>
      <c r="J256" s="1"/>
      <c r="K256" s="1"/>
      <c r="L256" s="3"/>
      <c r="M256" s="1"/>
      <c r="N256" s="1"/>
    </row>
    <row r="257" spans="1:14" x14ac:dyDescent="0.2">
      <c r="A257" s="1"/>
      <c r="B257" s="1"/>
      <c r="C257" s="1"/>
      <c r="D257" s="1"/>
      <c r="E257" s="1"/>
      <c r="F257" s="1"/>
      <c r="G257" s="1"/>
      <c r="H257" s="1"/>
      <c r="I257" s="1"/>
      <c r="J257" s="1"/>
      <c r="K257" s="1"/>
      <c r="L257" s="3"/>
      <c r="M257" s="1"/>
      <c r="N257" s="1"/>
    </row>
    <row r="258" spans="1:14" x14ac:dyDescent="0.2">
      <c r="A258" s="67" t="s">
        <v>324</v>
      </c>
      <c r="B258" s="1" t="s">
        <v>1198</v>
      </c>
      <c r="C258" s="1"/>
      <c r="D258" s="1"/>
      <c r="E258" s="1"/>
      <c r="F258" s="1"/>
      <c r="G258" s="1"/>
      <c r="H258" s="1"/>
      <c r="I258" s="1"/>
      <c r="J258" s="1"/>
      <c r="K258" s="1"/>
      <c r="L258" s="3"/>
      <c r="M258" s="1"/>
      <c r="N258" s="1"/>
    </row>
    <row r="259" spans="1:14" x14ac:dyDescent="0.2">
      <c r="A259" s="1"/>
      <c r="B259" s="81" t="s">
        <v>1197</v>
      </c>
      <c r="C259" s="1"/>
      <c r="D259" s="1"/>
      <c r="E259" s="1"/>
      <c r="F259" s="1"/>
      <c r="G259" s="1"/>
      <c r="H259" s="1"/>
      <c r="I259" s="1"/>
      <c r="J259" s="1"/>
      <c r="K259" s="1"/>
      <c r="L259" s="3"/>
      <c r="M259" s="1"/>
      <c r="N259" s="1"/>
    </row>
    <row r="260" spans="1:14" x14ac:dyDescent="0.2">
      <c r="A260" s="1"/>
      <c r="B260" s="81" t="s">
        <v>895</v>
      </c>
      <c r="C260" s="1"/>
      <c r="D260" s="1"/>
      <c r="E260" s="1"/>
      <c r="F260" s="1"/>
      <c r="G260" s="1"/>
      <c r="H260" s="1"/>
      <c r="I260" s="1"/>
      <c r="J260" s="1"/>
      <c r="K260" s="1"/>
      <c r="L260" s="3"/>
      <c r="M260" s="1"/>
      <c r="N260" s="1"/>
    </row>
    <row r="261" spans="1:14" ht="13.5" thickBot="1" x14ac:dyDescent="0.25">
      <c r="A261" s="1"/>
      <c r="B261" s="1"/>
      <c r="C261" s="1"/>
      <c r="D261" s="292" t="s">
        <v>306</v>
      </c>
      <c r="E261" s="293" t="s">
        <v>304</v>
      </c>
      <c r="F261" s="1"/>
      <c r="G261" s="1"/>
      <c r="H261" s="1"/>
      <c r="I261" s="1"/>
      <c r="J261" s="1"/>
      <c r="K261" s="1"/>
      <c r="L261" s="3"/>
      <c r="M261" s="1"/>
      <c r="N261" s="1"/>
    </row>
    <row r="262" spans="1:14" ht="13.5" thickTop="1" x14ac:dyDescent="0.2">
      <c r="A262" s="16" t="s">
        <v>475</v>
      </c>
      <c r="B262" s="584" t="s">
        <v>288</v>
      </c>
      <c r="C262" s="291"/>
      <c r="D262" s="569"/>
      <c r="E262" s="294"/>
      <c r="F262" s="1"/>
      <c r="G262" s="1"/>
      <c r="H262" s="1"/>
      <c r="I262" s="1"/>
      <c r="J262" s="1"/>
      <c r="K262" s="1"/>
      <c r="L262" s="3"/>
      <c r="M262" s="1"/>
      <c r="N262" s="1"/>
    </row>
    <row r="263" spans="1:14" ht="13.5" thickBot="1" x14ac:dyDescent="0.25">
      <c r="A263" s="16"/>
      <c r="B263" s="585" t="s">
        <v>289</v>
      </c>
      <c r="C263" s="18"/>
      <c r="D263" s="570" t="s">
        <v>995</v>
      </c>
      <c r="E263" s="575" t="s">
        <v>995</v>
      </c>
      <c r="F263" s="1"/>
      <c r="G263" s="1"/>
      <c r="H263" s="1"/>
      <c r="I263" s="1"/>
      <c r="J263" s="6" t="str">
        <f>IF(E263="x","JUIST","FOUT")</f>
        <v>FOUT</v>
      </c>
      <c r="K263" s="6">
        <f>IF(J263="JUIST",1,0)</f>
        <v>0</v>
      </c>
      <c r="L263" s="3">
        <v>1</v>
      </c>
      <c r="M263" s="1" t="s">
        <v>1833</v>
      </c>
      <c r="N263" s="1"/>
    </row>
    <row r="264" spans="1:14" ht="13.5" thickTop="1" x14ac:dyDescent="0.2">
      <c r="A264" s="16" t="s">
        <v>476</v>
      </c>
      <c r="B264" s="41" t="s">
        <v>290</v>
      </c>
      <c r="C264" s="291"/>
      <c r="D264" s="569"/>
      <c r="E264" s="294"/>
      <c r="F264" s="1"/>
      <c r="G264" s="1"/>
      <c r="H264" s="1"/>
      <c r="I264" s="1"/>
      <c r="J264" s="1"/>
      <c r="K264" s="1"/>
      <c r="L264" s="3"/>
      <c r="M264" s="1"/>
      <c r="N264" s="1"/>
    </row>
    <row r="265" spans="1:14" ht="13.5" thickBot="1" x14ac:dyDescent="0.25">
      <c r="A265" s="16"/>
      <c r="B265" s="59" t="s">
        <v>291</v>
      </c>
      <c r="C265" s="18"/>
      <c r="D265" s="570" t="s">
        <v>995</v>
      </c>
      <c r="E265" s="575" t="s">
        <v>995</v>
      </c>
      <c r="F265" s="1"/>
      <c r="G265" s="1"/>
      <c r="H265" s="1"/>
      <c r="I265" s="1"/>
      <c r="J265" s="6" t="str">
        <f>IF(E265="x","JUIST","FOUT")</f>
        <v>FOUT</v>
      </c>
      <c r="K265" s="6">
        <f>IF(J265="JUIST",1,0)</f>
        <v>0</v>
      </c>
      <c r="L265" s="3">
        <v>1</v>
      </c>
      <c r="M265" s="1" t="s">
        <v>1833</v>
      </c>
      <c r="N265" s="1"/>
    </row>
    <row r="266" spans="1:14" ht="14.25" thickTop="1" thickBot="1" x14ac:dyDescent="0.25">
      <c r="A266" s="16" t="s">
        <v>477</v>
      </c>
      <c r="B266" s="584" t="s">
        <v>292</v>
      </c>
      <c r="C266" s="291"/>
      <c r="D266" s="577" t="s">
        <v>995</v>
      </c>
      <c r="E266" s="572" t="s">
        <v>995</v>
      </c>
      <c r="F266" s="1"/>
      <c r="G266" s="1"/>
      <c r="H266" s="1"/>
      <c r="I266" s="1"/>
      <c r="J266" s="6" t="str">
        <f>IF(D266="x","JUIST","FOUT")</f>
        <v>FOUT</v>
      </c>
      <c r="K266" s="6">
        <f>IF(J266="JUIST",1,0)</f>
        <v>0</v>
      </c>
      <c r="L266" s="3">
        <v>1</v>
      </c>
      <c r="M266" s="1" t="s">
        <v>1828</v>
      </c>
      <c r="N266" s="1"/>
    </row>
    <row r="267" spans="1:14" ht="13.5" thickTop="1" x14ac:dyDescent="0.2">
      <c r="A267" s="16" t="s">
        <v>478</v>
      </c>
      <c r="B267" s="41" t="s">
        <v>293</v>
      </c>
      <c r="C267" s="291"/>
      <c r="D267" s="599" t="s">
        <v>995</v>
      </c>
      <c r="E267" s="294"/>
      <c r="F267" s="1"/>
      <c r="G267" s="1"/>
      <c r="H267" s="1"/>
      <c r="I267" s="1"/>
      <c r="J267" s="1"/>
      <c r="K267" s="1"/>
      <c r="L267" s="3"/>
      <c r="M267" s="1"/>
      <c r="N267" s="1"/>
    </row>
    <row r="268" spans="1:14" ht="13.5" thickBot="1" x14ac:dyDescent="0.25">
      <c r="A268" s="16"/>
      <c r="B268" s="59" t="s">
        <v>294</v>
      </c>
      <c r="C268" s="18"/>
      <c r="D268" s="578" t="s">
        <v>995</v>
      </c>
      <c r="E268" s="571" t="s">
        <v>995</v>
      </c>
      <c r="F268" s="1"/>
      <c r="G268" s="1"/>
      <c r="H268" s="1"/>
      <c r="I268" s="1"/>
      <c r="J268" s="6" t="str">
        <f>IF(D268="x","JUIST","FOUT")</f>
        <v>FOUT</v>
      </c>
      <c r="K268" s="6">
        <f>IF(J268="JUIST",1,0)</f>
        <v>0</v>
      </c>
      <c r="L268" s="3">
        <v>1</v>
      </c>
      <c r="M268" s="1" t="s">
        <v>1828</v>
      </c>
      <c r="N268" s="1"/>
    </row>
    <row r="269" spans="1:14" ht="14.25" thickTop="1" thickBot="1" x14ac:dyDescent="0.25">
      <c r="A269" s="16" t="s">
        <v>479</v>
      </c>
      <c r="B269" s="41" t="s">
        <v>295</v>
      </c>
      <c r="C269" s="291"/>
      <c r="D269" s="573" t="s">
        <v>995</v>
      </c>
      <c r="E269" s="576" t="s">
        <v>995</v>
      </c>
      <c r="F269" s="1"/>
      <c r="G269" s="1"/>
      <c r="H269" s="1"/>
      <c r="I269" s="1"/>
      <c r="J269" s="6" t="str">
        <f>IF(E269="x","JUIST","FOUT")</f>
        <v>FOUT</v>
      </c>
      <c r="K269" s="6">
        <f>IF(J269="JUIST",1,0)</f>
        <v>0</v>
      </c>
      <c r="L269" s="3">
        <v>1</v>
      </c>
      <c r="M269" s="1" t="s">
        <v>1833</v>
      </c>
      <c r="N269" s="1"/>
    </row>
    <row r="270" spans="1:14" ht="13.5" thickTop="1" x14ac:dyDescent="0.2">
      <c r="A270" s="16" t="s">
        <v>480</v>
      </c>
      <c r="B270" s="41" t="s">
        <v>296</v>
      </c>
      <c r="C270" s="291"/>
      <c r="D270" s="569"/>
      <c r="E270" s="294"/>
      <c r="F270" s="1"/>
      <c r="G270" s="1"/>
      <c r="H270" s="1"/>
      <c r="I270" s="1"/>
      <c r="J270" s="1"/>
      <c r="K270" s="1"/>
      <c r="L270" s="3"/>
      <c r="M270" s="1"/>
      <c r="N270" s="1"/>
    </row>
    <row r="271" spans="1:14" ht="13.5" thickBot="1" x14ac:dyDescent="0.25">
      <c r="A271" s="16"/>
      <c r="B271" s="59" t="s">
        <v>297</v>
      </c>
      <c r="C271" s="18"/>
      <c r="D271" s="570" t="s">
        <v>995</v>
      </c>
      <c r="E271" s="575" t="s">
        <v>995</v>
      </c>
      <c r="F271" s="1"/>
      <c r="G271" s="1"/>
      <c r="H271" s="1"/>
      <c r="I271" s="1"/>
      <c r="J271" s="6" t="str">
        <f>IF(E271="x","JUIST","FOUT")</f>
        <v>FOUT</v>
      </c>
      <c r="K271" s="6">
        <f>IF(J271="JUIST",1,0)</f>
        <v>0</v>
      </c>
      <c r="L271" s="3">
        <v>1</v>
      </c>
      <c r="M271" s="1" t="s">
        <v>1833</v>
      </c>
      <c r="N271" s="1"/>
    </row>
    <row r="272" spans="1:14" ht="13.5" thickTop="1" x14ac:dyDescent="0.2">
      <c r="A272" s="16" t="s">
        <v>481</v>
      </c>
      <c r="B272" s="41" t="s">
        <v>2288</v>
      </c>
      <c r="C272" s="291"/>
      <c r="D272" s="569"/>
      <c r="E272" s="294"/>
      <c r="F272" s="1"/>
      <c r="G272" s="1"/>
      <c r="H272" s="1"/>
      <c r="I272" s="1"/>
      <c r="J272" s="1"/>
      <c r="K272" s="1"/>
      <c r="L272" s="3"/>
      <c r="M272" s="1"/>
      <c r="N272" s="1"/>
    </row>
    <row r="273" spans="1:14" ht="13.5" thickBot="1" x14ac:dyDescent="0.25">
      <c r="A273" s="16"/>
      <c r="B273" s="59" t="s">
        <v>2289</v>
      </c>
      <c r="C273" s="18"/>
      <c r="D273" s="570" t="s">
        <v>995</v>
      </c>
      <c r="E273" s="575" t="s">
        <v>995</v>
      </c>
      <c r="F273" s="1"/>
      <c r="G273" s="1"/>
      <c r="H273" s="1"/>
      <c r="I273" s="1"/>
      <c r="J273" s="6" t="str">
        <f>IF(E273="x","JUIST","FOUT")</f>
        <v>FOUT</v>
      </c>
      <c r="K273" s="6">
        <f>IF(J273="JUIST",1,0)</f>
        <v>0</v>
      </c>
      <c r="L273" s="3">
        <v>1</v>
      </c>
      <c r="M273" s="1" t="s">
        <v>1833</v>
      </c>
      <c r="N273" s="1"/>
    </row>
    <row r="274" spans="1:14" ht="13.5" thickTop="1" x14ac:dyDescent="0.2">
      <c r="A274" s="16" t="s">
        <v>482</v>
      </c>
      <c r="B274" s="41" t="s">
        <v>298</v>
      </c>
      <c r="C274" s="291"/>
      <c r="D274" s="569"/>
      <c r="E274" s="294"/>
      <c r="F274" s="1"/>
      <c r="G274" s="1"/>
      <c r="H274" s="1"/>
      <c r="I274" s="1"/>
      <c r="J274" s="1"/>
      <c r="K274" s="1"/>
      <c r="L274" s="3"/>
      <c r="M274" s="1"/>
      <c r="N274" s="1"/>
    </row>
    <row r="275" spans="1:14" ht="13.5" thickBot="1" x14ac:dyDescent="0.25">
      <c r="A275" s="16"/>
      <c r="B275" s="59" t="s">
        <v>299</v>
      </c>
      <c r="C275" s="18"/>
      <c r="D275" s="578" t="s">
        <v>995</v>
      </c>
      <c r="E275" s="571" t="s">
        <v>995</v>
      </c>
      <c r="F275" s="1"/>
      <c r="G275" s="1"/>
      <c r="H275" s="1"/>
      <c r="I275" s="1"/>
      <c r="J275" s="6" t="str">
        <f>IF(D275="x","JUIST","FOUT")</f>
        <v>FOUT</v>
      </c>
      <c r="K275" s="6">
        <f>IF(J275="JUIST",1,0)</f>
        <v>0</v>
      </c>
      <c r="L275" s="3">
        <v>1</v>
      </c>
      <c r="M275" s="1" t="s">
        <v>1828</v>
      </c>
      <c r="N275" s="1"/>
    </row>
    <row r="276" spans="1:14" ht="13.5" thickTop="1" x14ac:dyDescent="0.2">
      <c r="A276" s="16" t="s">
        <v>483</v>
      </c>
      <c r="B276" s="41" t="s">
        <v>2290</v>
      </c>
      <c r="C276" s="291"/>
      <c r="D276" s="569"/>
      <c r="E276" s="294"/>
      <c r="F276" s="1"/>
      <c r="G276" s="1"/>
      <c r="H276" s="1"/>
      <c r="I276" s="1"/>
      <c r="J276" s="1"/>
      <c r="K276" s="1"/>
      <c r="L276" s="3"/>
      <c r="M276" s="1"/>
      <c r="N276" s="1"/>
    </row>
    <row r="277" spans="1:14" ht="13.5" thickBot="1" x14ac:dyDescent="0.25">
      <c r="A277" s="16"/>
      <c r="B277" s="59" t="s">
        <v>1192</v>
      </c>
      <c r="C277" s="18"/>
      <c r="D277" s="578" t="s">
        <v>995</v>
      </c>
      <c r="E277" s="571" t="s">
        <v>995</v>
      </c>
      <c r="F277" s="1"/>
      <c r="G277" s="1"/>
      <c r="H277" s="1"/>
      <c r="I277" s="1"/>
      <c r="J277" s="6" t="str">
        <f>IF(D277="x","JUIST","FOUT")</f>
        <v>FOUT</v>
      </c>
      <c r="K277" s="6">
        <f>IF(J277="JUIST",1,0)</f>
        <v>0</v>
      </c>
      <c r="L277" s="3">
        <v>1</v>
      </c>
      <c r="M277" s="1" t="s">
        <v>1828</v>
      </c>
      <c r="N277" s="1"/>
    </row>
    <row r="278" spans="1:14" ht="13.5" thickTop="1" x14ac:dyDescent="0.2">
      <c r="A278" s="16" t="s">
        <v>662</v>
      </c>
      <c r="B278" s="41" t="s">
        <v>1193</v>
      </c>
      <c r="C278" s="291"/>
      <c r="D278" s="569"/>
      <c r="E278" s="294"/>
      <c r="F278" s="1"/>
      <c r="G278" s="1"/>
      <c r="H278" s="1"/>
      <c r="I278" s="1"/>
      <c r="J278" s="1"/>
      <c r="K278" s="1"/>
      <c r="L278" s="3"/>
      <c r="M278" s="1"/>
      <c r="N278" s="1"/>
    </row>
    <row r="279" spans="1:14" ht="13.5" thickBot="1" x14ac:dyDescent="0.25">
      <c r="A279" s="16"/>
      <c r="B279" s="59" t="s">
        <v>1194</v>
      </c>
      <c r="C279" s="18"/>
      <c r="D279" s="570" t="s">
        <v>995</v>
      </c>
      <c r="E279" s="575" t="s">
        <v>995</v>
      </c>
      <c r="F279" s="1"/>
      <c r="G279" s="1"/>
      <c r="H279" s="1"/>
      <c r="I279" s="1"/>
      <c r="J279" s="6" t="str">
        <f>IF(E279="x","JUIST","FOUT")</f>
        <v>FOUT</v>
      </c>
      <c r="K279" s="6">
        <f>IF(J279="JUIST",1,0)</f>
        <v>0</v>
      </c>
      <c r="L279" s="3">
        <v>1</v>
      </c>
      <c r="M279" s="1" t="s">
        <v>1833</v>
      </c>
      <c r="N279" s="1"/>
    </row>
    <row r="280" spans="1:14" ht="13.5" thickTop="1" x14ac:dyDescent="0.2">
      <c r="A280" s="16" t="s">
        <v>1240</v>
      </c>
      <c r="B280" s="41" t="s">
        <v>1195</v>
      </c>
      <c r="C280" s="291"/>
      <c r="D280" s="569"/>
      <c r="E280" s="294"/>
      <c r="F280" s="1"/>
      <c r="G280" s="1"/>
      <c r="H280" s="1"/>
      <c r="I280" s="1"/>
      <c r="J280" s="1"/>
      <c r="K280" s="1"/>
      <c r="L280" s="3"/>
      <c r="M280" s="1"/>
      <c r="N280" s="1"/>
    </row>
    <row r="281" spans="1:14" x14ac:dyDescent="0.2">
      <c r="A281" s="16"/>
      <c r="B281" s="586" t="s">
        <v>1196</v>
      </c>
      <c r="C281" s="85"/>
      <c r="D281" s="579" t="s">
        <v>995</v>
      </c>
      <c r="E281" s="574" t="s">
        <v>995</v>
      </c>
      <c r="F281" s="1"/>
      <c r="G281" s="1"/>
      <c r="H281" s="1"/>
      <c r="I281" s="1"/>
      <c r="J281" s="6" t="str">
        <f>IF(D281="x","JUIST","FOUT")</f>
        <v>FOUT</v>
      </c>
      <c r="K281" s="6">
        <f>IF(J281="JUIST",1,0)</f>
        <v>0</v>
      </c>
      <c r="L281" s="3">
        <v>1</v>
      </c>
      <c r="M281" s="1" t="s">
        <v>1828</v>
      </c>
      <c r="N281" s="1"/>
    </row>
    <row r="282" spans="1:14" x14ac:dyDescent="0.2">
      <c r="A282" s="1"/>
      <c r="B282" s="1"/>
      <c r="C282" s="1"/>
      <c r="D282" s="1"/>
      <c r="E282" s="1"/>
      <c r="F282" s="1"/>
      <c r="G282" s="1"/>
      <c r="H282" s="1"/>
      <c r="I282" s="1"/>
      <c r="J282" s="1"/>
      <c r="K282" s="1"/>
      <c r="L282" s="3"/>
      <c r="M282" s="1"/>
      <c r="N282" s="1"/>
    </row>
    <row r="283" spans="1:14" x14ac:dyDescent="0.2">
      <c r="A283" s="14"/>
      <c r="B283" s="14"/>
      <c r="C283" s="14"/>
      <c r="D283" s="180"/>
      <c r="E283" s="14"/>
      <c r="F283" s="14"/>
      <c r="G283" s="14"/>
      <c r="H283" s="14"/>
      <c r="I283" s="14"/>
      <c r="J283" s="1"/>
      <c r="K283" s="1"/>
      <c r="L283" s="3"/>
      <c r="M283" s="1"/>
      <c r="N283" s="1"/>
    </row>
    <row r="284" spans="1:14" x14ac:dyDescent="0.2">
      <c r="A284" s="1"/>
      <c r="B284" s="1"/>
      <c r="C284" s="1"/>
      <c r="D284" s="1"/>
      <c r="E284" s="1"/>
      <c r="F284" s="1"/>
      <c r="G284" s="1"/>
      <c r="H284" s="1"/>
      <c r="I284" s="1"/>
      <c r="J284" s="5" t="e">
        <f>SEARCH("5,7",D291)</f>
        <v>#VALUE!</v>
      </c>
      <c r="K284" s="1"/>
      <c r="L284" s="3"/>
      <c r="M284" s="1"/>
      <c r="N284" s="1"/>
    </row>
    <row r="285" spans="1:14" x14ac:dyDescent="0.2">
      <c r="A285" s="67" t="s">
        <v>334</v>
      </c>
      <c r="B285" s="67" t="s">
        <v>1199</v>
      </c>
      <c r="C285" s="1"/>
      <c r="D285" s="1"/>
      <c r="E285" s="1"/>
      <c r="F285" s="1"/>
      <c r="G285" s="1"/>
      <c r="H285" s="1"/>
      <c r="I285" s="1"/>
      <c r="J285" s="5">
        <f>ABS(ISERR(J284))</f>
        <v>1</v>
      </c>
      <c r="K285" s="5">
        <f>ABS(IF(J285=0,"1","0"))</f>
        <v>0</v>
      </c>
      <c r="L285" s="3">
        <v>1</v>
      </c>
      <c r="M285" s="1">
        <v>5.7</v>
      </c>
      <c r="N285" s="1"/>
    </row>
    <row r="286" spans="1:14" x14ac:dyDescent="0.2">
      <c r="A286" s="1"/>
      <c r="B286" s="67" t="s">
        <v>1207</v>
      </c>
      <c r="C286" s="1"/>
      <c r="D286" s="1"/>
      <c r="E286" s="1"/>
      <c r="F286" s="1"/>
      <c r="G286" s="1"/>
      <c r="H286" s="1"/>
      <c r="I286" s="1"/>
      <c r="J286" s="5" t="e">
        <f>SEARCH("2,2",D292)</f>
        <v>#VALUE!</v>
      </c>
      <c r="K286" s="1"/>
      <c r="L286" s="3"/>
      <c r="M286" s="1"/>
      <c r="N286" s="1"/>
    </row>
    <row r="287" spans="1:14" x14ac:dyDescent="0.2">
      <c r="A287" s="1"/>
      <c r="B287" s="67" t="s">
        <v>2291</v>
      </c>
      <c r="C287" s="1"/>
      <c r="D287" s="1"/>
      <c r="E287" s="1"/>
      <c r="F287" s="1"/>
      <c r="G287" s="1"/>
      <c r="H287" s="1"/>
      <c r="I287" s="1"/>
      <c r="J287" s="5">
        <f>ABS(ISERR(J286))</f>
        <v>1</v>
      </c>
      <c r="K287" s="5">
        <f>ABS(IF(J287=0,"1","0"))</f>
        <v>0</v>
      </c>
      <c r="L287" s="3">
        <v>1</v>
      </c>
      <c r="M287" s="1">
        <v>2.2000000000000002</v>
      </c>
      <c r="N287" s="1"/>
    </row>
    <row r="288" spans="1:14" x14ac:dyDescent="0.2">
      <c r="A288" s="1"/>
      <c r="B288" s="81" t="s">
        <v>1200</v>
      </c>
      <c r="C288" s="1"/>
      <c r="D288" s="12" t="s">
        <v>1202</v>
      </c>
      <c r="E288" s="46">
        <f>IF(C302="x","De juiste",0)</f>
        <v>0</v>
      </c>
      <c r="F288" s="1"/>
      <c r="G288" s="1"/>
      <c r="H288" s="1"/>
      <c r="I288" s="1"/>
      <c r="J288" s="5" t="e">
        <f>SEARCH("4,5",D294)</f>
        <v>#VALUE!</v>
      </c>
      <c r="K288" s="1"/>
      <c r="L288" s="3"/>
      <c r="M288" s="1"/>
      <c r="N288" s="1"/>
    </row>
    <row r="289" spans="1:14" x14ac:dyDescent="0.2">
      <c r="A289" s="1"/>
      <c r="B289" s="81" t="s">
        <v>2292</v>
      </c>
      <c r="C289" s="1"/>
      <c r="D289" s="87" t="s">
        <v>1203</v>
      </c>
      <c r="E289" s="46">
        <f>IF(C302="x","antwoorden",0)</f>
        <v>0</v>
      </c>
      <c r="F289" s="1"/>
      <c r="G289" s="1"/>
      <c r="H289" s="1"/>
      <c r="I289" s="1"/>
      <c r="J289" s="5">
        <f>ABS(ISERR(J288))</f>
        <v>1</v>
      </c>
      <c r="K289" s="5">
        <f>ABS(IF(J289=0,"1","0"))</f>
        <v>0</v>
      </c>
      <c r="L289" s="3">
        <v>1</v>
      </c>
      <c r="M289" s="1">
        <v>4.5</v>
      </c>
      <c r="N289" s="1"/>
    </row>
    <row r="290" spans="1:14" ht="13.5" thickBot="1" x14ac:dyDescent="0.25">
      <c r="A290" s="1"/>
      <c r="B290" s="1"/>
      <c r="C290" s="1"/>
      <c r="D290" s="302" t="s">
        <v>1204</v>
      </c>
      <c r="E290" s="46">
        <f>IF(C302="x","zijn:",0)</f>
        <v>0</v>
      </c>
      <c r="F290" s="1"/>
      <c r="G290" s="1"/>
      <c r="H290" s="1"/>
      <c r="I290" s="1"/>
      <c r="J290" s="5" t="e">
        <f>SEARCH("1,1",D296)</f>
        <v>#VALUE!</v>
      </c>
      <c r="K290" s="1"/>
      <c r="L290" s="3"/>
      <c r="M290" s="1"/>
      <c r="N290" s="1"/>
    </row>
    <row r="291" spans="1:14" ht="14.25" thickTop="1" thickBot="1" x14ac:dyDescent="0.25">
      <c r="A291" s="16" t="s">
        <v>475</v>
      </c>
      <c r="B291" s="41" t="s">
        <v>1209</v>
      </c>
      <c r="C291" s="291"/>
      <c r="D291" s="290">
        <v>0</v>
      </c>
      <c r="E291" s="3">
        <f>IF(C302="x",M285,0)</f>
        <v>0</v>
      </c>
      <c r="F291" s="1"/>
      <c r="G291" s="1"/>
      <c r="H291" s="1"/>
      <c r="I291" s="1"/>
      <c r="J291" s="5">
        <f>ABS(ISERR(J290))</f>
        <v>1</v>
      </c>
      <c r="K291" s="5">
        <f>ABS(IF(J291=0,"1","0"))</f>
        <v>0</v>
      </c>
      <c r="L291" s="3">
        <v>1</v>
      </c>
      <c r="M291" s="1">
        <v>1.1000000000000001</v>
      </c>
      <c r="N291" s="1"/>
    </row>
    <row r="292" spans="1:14" ht="14.25" thickTop="1" thickBot="1" x14ac:dyDescent="0.25">
      <c r="A292" s="16" t="s">
        <v>476</v>
      </c>
      <c r="B292" s="304" t="s">
        <v>1210</v>
      </c>
      <c r="C292" s="305"/>
      <c r="D292" s="306">
        <v>0</v>
      </c>
      <c r="E292" s="3">
        <f>IF(C302="x",M287,0)</f>
        <v>0</v>
      </c>
      <c r="F292" s="1"/>
      <c r="G292" s="1"/>
      <c r="H292" s="1"/>
      <c r="I292" s="1"/>
      <c r="J292" s="5" t="e">
        <f>SEARCH("37,1",D298)</f>
        <v>#VALUE!</v>
      </c>
      <c r="K292" s="1"/>
      <c r="L292" s="3"/>
      <c r="M292" s="1"/>
      <c r="N292" s="1"/>
    </row>
    <row r="293" spans="1:14" ht="13.5" thickTop="1" x14ac:dyDescent="0.2">
      <c r="A293" s="16" t="s">
        <v>477</v>
      </c>
      <c r="B293" s="41" t="s">
        <v>1211</v>
      </c>
      <c r="C293" s="291"/>
      <c r="D293" s="303"/>
      <c r="E293" s="3"/>
      <c r="F293" s="1"/>
      <c r="G293" s="1"/>
      <c r="H293" s="1"/>
      <c r="I293" s="1"/>
      <c r="J293" s="5">
        <f>ABS(ISERR(J292))</f>
        <v>1</v>
      </c>
      <c r="K293" s="5">
        <f>ABS(IF(J293=0,"1","0"))</f>
        <v>0</v>
      </c>
      <c r="L293" s="3">
        <v>1</v>
      </c>
      <c r="M293" s="1">
        <v>37.1</v>
      </c>
      <c r="N293" s="1"/>
    </row>
    <row r="294" spans="1:14" ht="13.5" thickBot="1" x14ac:dyDescent="0.25">
      <c r="A294" s="16"/>
      <c r="B294" s="300" t="s">
        <v>1201</v>
      </c>
      <c r="C294" s="301"/>
      <c r="D294" s="296">
        <v>0</v>
      </c>
      <c r="E294" s="3">
        <f>IF(C302="x",M289,0)</f>
        <v>0</v>
      </c>
      <c r="F294" s="1"/>
      <c r="G294" s="1"/>
      <c r="H294" s="1"/>
      <c r="I294" s="1"/>
      <c r="J294" s="5" t="e">
        <f>SEARCH("2,8",D300)</f>
        <v>#VALUE!</v>
      </c>
      <c r="K294" s="1"/>
      <c r="L294" s="3"/>
      <c r="M294" s="1"/>
      <c r="N294" s="1"/>
    </row>
    <row r="295" spans="1:14" ht="13.5" thickTop="1" x14ac:dyDescent="0.2">
      <c r="A295" s="16" t="s">
        <v>478</v>
      </c>
      <c r="B295" s="41" t="s">
        <v>1212</v>
      </c>
      <c r="C295" s="291"/>
      <c r="D295" s="303"/>
      <c r="E295" s="3"/>
      <c r="F295" s="1"/>
      <c r="G295" s="1"/>
      <c r="H295" s="1"/>
      <c r="I295" s="1"/>
      <c r="J295" s="5">
        <f>ABS(ISERR(J294))</f>
        <v>1</v>
      </c>
      <c r="K295" s="5">
        <f>ABS(IF(J295=0,"1","0"))</f>
        <v>0</v>
      </c>
      <c r="L295" s="3">
        <v>1</v>
      </c>
      <c r="M295" s="1">
        <v>2.8</v>
      </c>
      <c r="N295" s="1"/>
    </row>
    <row r="296" spans="1:14" ht="13.5" thickBot="1" x14ac:dyDescent="0.25">
      <c r="A296" s="16"/>
      <c r="B296" s="300" t="s">
        <v>1206</v>
      </c>
      <c r="C296" s="301"/>
      <c r="D296" s="296">
        <v>0</v>
      </c>
      <c r="E296" s="3">
        <f>IF(C302="x",M291,0)</f>
        <v>0</v>
      </c>
      <c r="F296" s="1"/>
      <c r="G296" s="1"/>
      <c r="H296" s="1"/>
      <c r="I296" s="1"/>
      <c r="J296" s="1"/>
      <c r="K296" s="1"/>
      <c r="L296" s="3"/>
      <c r="M296" s="1"/>
      <c r="N296" s="1"/>
    </row>
    <row r="297" spans="1:14" ht="13.5" thickTop="1" x14ac:dyDescent="0.2">
      <c r="A297" s="16" t="s">
        <v>479</v>
      </c>
      <c r="B297" s="41" t="s">
        <v>1213</v>
      </c>
      <c r="C297" s="291"/>
      <c r="D297" s="303"/>
      <c r="E297" s="3"/>
      <c r="F297" s="1"/>
      <c r="G297" s="1"/>
      <c r="H297" s="1"/>
      <c r="I297" s="1"/>
      <c r="J297" s="1"/>
      <c r="K297" s="1"/>
      <c r="L297" s="3"/>
      <c r="M297" s="1"/>
      <c r="N297" s="1"/>
    </row>
    <row r="298" spans="1:14" ht="13.5" thickBot="1" x14ac:dyDescent="0.25">
      <c r="A298" s="16"/>
      <c r="B298" s="300" t="s">
        <v>1205</v>
      </c>
      <c r="C298" s="301"/>
      <c r="D298" s="296">
        <v>0</v>
      </c>
      <c r="E298" s="3">
        <f>IF(C302="x",M293,0)</f>
        <v>0</v>
      </c>
      <c r="F298" s="1"/>
      <c r="G298" s="1"/>
      <c r="H298" s="1"/>
      <c r="I298" s="1"/>
      <c r="J298" s="1"/>
      <c r="K298" s="1"/>
      <c r="L298" s="3"/>
      <c r="M298" s="1"/>
      <c r="N298" s="1"/>
    </row>
    <row r="299" spans="1:14" ht="13.5" thickTop="1" x14ac:dyDescent="0.2">
      <c r="A299" s="16" t="s">
        <v>480</v>
      </c>
      <c r="B299" s="41" t="s">
        <v>1214</v>
      </c>
      <c r="C299" s="291"/>
      <c r="D299" s="303"/>
      <c r="E299" s="3"/>
      <c r="F299" s="1"/>
      <c r="G299" s="1"/>
      <c r="H299" s="1"/>
      <c r="I299" s="1"/>
      <c r="J299" s="1"/>
      <c r="K299" s="1"/>
      <c r="L299" s="3"/>
      <c r="M299" s="1"/>
      <c r="N299" s="1"/>
    </row>
    <row r="300" spans="1:14" ht="13.5" thickBot="1" x14ac:dyDescent="0.25">
      <c r="A300" s="16"/>
      <c r="B300" s="300" t="s">
        <v>1208</v>
      </c>
      <c r="C300" s="301"/>
      <c r="D300" s="296">
        <v>0</v>
      </c>
      <c r="E300" s="3">
        <f>IF(C302="x",M295,0)</f>
        <v>0</v>
      </c>
      <c r="F300" s="1"/>
      <c r="G300" s="1"/>
      <c r="H300" s="1"/>
      <c r="I300" s="1"/>
      <c r="J300" s="1"/>
      <c r="K300" s="1"/>
      <c r="L300" s="3"/>
      <c r="M300" s="1"/>
      <c r="N300" s="1"/>
    </row>
    <row r="301" spans="1:14" ht="13.5" thickTop="1" x14ac:dyDescent="0.2">
      <c r="A301" s="1"/>
      <c r="B301" s="1"/>
      <c r="C301" s="1"/>
      <c r="D301" s="3"/>
      <c r="E301" s="1"/>
      <c r="F301" s="1"/>
      <c r="G301" s="1"/>
      <c r="H301" s="1"/>
      <c r="I301" s="1"/>
      <c r="J301" s="1"/>
      <c r="K301" s="1"/>
      <c r="L301" s="3"/>
      <c r="M301" s="1"/>
      <c r="N301" s="1"/>
    </row>
    <row r="302" spans="1:14" x14ac:dyDescent="0.2">
      <c r="A302" s="1"/>
      <c r="B302" s="82" t="s">
        <v>1033</v>
      </c>
      <c r="C302" s="318" t="s">
        <v>995</v>
      </c>
      <c r="D302" s="1"/>
      <c r="E302" s="1"/>
      <c r="F302" s="79"/>
      <c r="G302" s="1"/>
      <c r="H302" s="1"/>
      <c r="I302" s="1"/>
      <c r="J302" s="1"/>
      <c r="K302" s="1"/>
      <c r="L302" s="3"/>
      <c r="M302" s="1"/>
      <c r="N302" s="1"/>
    </row>
    <row r="303" spans="1:14" x14ac:dyDescent="0.2">
      <c r="A303" s="1"/>
      <c r="B303" s="52">
        <f>J303</f>
        <v>0</v>
      </c>
      <c r="C303" s="1">
        <v>0</v>
      </c>
      <c r="D303" s="1"/>
      <c r="E303" s="1"/>
      <c r="F303" s="252"/>
      <c r="G303" s="1"/>
      <c r="H303" s="1"/>
      <c r="I303" s="1"/>
      <c r="J303" s="73"/>
      <c r="K303" s="1"/>
      <c r="L303" s="3"/>
      <c r="M303" s="1"/>
      <c r="N303" s="1"/>
    </row>
    <row r="304" spans="1:14" x14ac:dyDescent="0.2">
      <c r="A304" s="14"/>
      <c r="B304" s="14"/>
      <c r="C304" s="14"/>
      <c r="D304" s="180"/>
      <c r="E304" s="14"/>
      <c r="F304" s="14"/>
      <c r="G304" s="14"/>
      <c r="H304" s="14"/>
      <c r="I304" s="14"/>
      <c r="J304" s="1"/>
      <c r="K304" s="1"/>
      <c r="L304" s="3"/>
      <c r="M304" s="1"/>
      <c r="N304" s="1"/>
    </row>
    <row r="305" spans="1:14" x14ac:dyDescent="0.2">
      <c r="A305" s="1"/>
      <c r="B305" s="1"/>
      <c r="C305" s="1"/>
      <c r="D305" s="1"/>
      <c r="E305" s="1"/>
      <c r="F305" s="1"/>
      <c r="G305" s="1"/>
      <c r="H305" s="1"/>
      <c r="I305" s="1"/>
      <c r="J305" s="1"/>
      <c r="K305" s="1"/>
      <c r="L305" s="3"/>
      <c r="M305" s="1"/>
      <c r="N305" s="1"/>
    </row>
    <row r="306" spans="1:14" x14ac:dyDescent="0.2">
      <c r="A306" s="67" t="s">
        <v>340</v>
      </c>
      <c r="B306" s="81" t="s">
        <v>2723</v>
      </c>
      <c r="C306" s="1"/>
      <c r="D306" s="1"/>
      <c r="E306" s="1"/>
      <c r="F306" s="1"/>
      <c r="G306" s="1"/>
      <c r="H306" s="1"/>
      <c r="I306" s="1"/>
      <c r="J306" s="1"/>
      <c r="K306" s="1"/>
      <c r="L306" s="3"/>
      <c r="M306" s="1"/>
      <c r="N306" s="1"/>
    </row>
    <row r="307" spans="1:14" x14ac:dyDescent="0.2">
      <c r="A307" s="1"/>
      <c r="B307" s="81" t="s">
        <v>648</v>
      </c>
      <c r="C307" s="1"/>
      <c r="D307" s="1"/>
      <c r="E307" s="1"/>
      <c r="F307" s="46">
        <f>IF(C319="x","De juiste",0)</f>
        <v>0</v>
      </c>
      <c r="G307" s="1"/>
      <c r="H307" s="1"/>
      <c r="I307" s="1"/>
      <c r="J307" s="1"/>
      <c r="K307" s="1"/>
      <c r="L307" s="3"/>
      <c r="M307" s="1"/>
      <c r="N307" s="1"/>
    </row>
    <row r="308" spans="1:14" x14ac:dyDescent="0.2">
      <c r="A308" s="1"/>
      <c r="B308" s="81" t="s">
        <v>2643</v>
      </c>
      <c r="C308" s="1"/>
      <c r="D308" s="1"/>
      <c r="E308" s="1"/>
      <c r="F308" s="46">
        <f>IF(C319="x","antwoorden",0)</f>
        <v>0</v>
      </c>
      <c r="G308" s="1"/>
      <c r="H308" s="1"/>
      <c r="I308" s="1"/>
      <c r="J308" s="1"/>
      <c r="K308" s="1"/>
      <c r="L308" s="3"/>
      <c r="M308" s="1"/>
      <c r="N308" s="1"/>
    </row>
    <row r="309" spans="1:14" ht="13.5" thickBot="1" x14ac:dyDescent="0.25">
      <c r="A309" s="1"/>
      <c r="B309" s="1"/>
      <c r="C309" s="1"/>
      <c r="D309" s="292" t="s">
        <v>912</v>
      </c>
      <c r="E309" s="293" t="s">
        <v>913</v>
      </c>
      <c r="F309" s="46">
        <f>IF(C319="x","zijn:",0)</f>
        <v>0</v>
      </c>
      <c r="G309" s="1"/>
      <c r="H309" s="1"/>
      <c r="I309" s="1"/>
      <c r="J309" s="1"/>
      <c r="K309" s="1"/>
      <c r="L309" s="3"/>
      <c r="M309" s="1"/>
      <c r="N309" s="1"/>
    </row>
    <row r="310" spans="1:14" ht="14.25" thickTop="1" thickBot="1" x14ac:dyDescent="0.25">
      <c r="A310" s="16" t="s">
        <v>475</v>
      </c>
      <c r="B310" s="304" t="s">
        <v>911</v>
      </c>
      <c r="C310" s="307"/>
      <c r="D310" s="573" t="s">
        <v>995</v>
      </c>
      <c r="E310" s="576" t="s">
        <v>995</v>
      </c>
      <c r="F310" s="3">
        <f>IF(C319="x",M310,0)</f>
        <v>0</v>
      </c>
      <c r="G310" s="1"/>
      <c r="H310" s="1"/>
      <c r="I310" s="1"/>
      <c r="J310" s="6" t="str">
        <f>IF(D310="x","JUIST","FOUT")</f>
        <v>FOUT</v>
      </c>
      <c r="K310" s="6">
        <f>IF(J310="JUIST",1,0)</f>
        <v>0</v>
      </c>
      <c r="L310" s="3">
        <v>1</v>
      </c>
      <c r="M310" s="1" t="s">
        <v>649</v>
      </c>
      <c r="N310" s="1"/>
    </row>
    <row r="311" spans="1:14" ht="13.5" thickTop="1" x14ac:dyDescent="0.2">
      <c r="A311" s="16" t="s">
        <v>476</v>
      </c>
      <c r="B311" s="59" t="s">
        <v>2293</v>
      </c>
      <c r="C311" s="18"/>
      <c r="D311" s="298"/>
      <c r="E311" s="311"/>
      <c r="F311" s="3"/>
      <c r="G311" s="1"/>
      <c r="H311" s="1"/>
      <c r="I311" s="1"/>
      <c r="J311" s="1"/>
      <c r="K311" s="1"/>
      <c r="L311" s="3"/>
      <c r="M311" s="1"/>
      <c r="N311" s="1"/>
    </row>
    <row r="312" spans="1:14" ht="13.5" thickBot="1" x14ac:dyDescent="0.25">
      <c r="A312" s="16"/>
      <c r="B312" s="59" t="s">
        <v>2294</v>
      </c>
      <c r="C312" s="135"/>
      <c r="D312" s="570" t="s">
        <v>995</v>
      </c>
      <c r="E312" s="295">
        <v>0</v>
      </c>
      <c r="F312" s="3">
        <f>IF(C319="x",M312,0)</f>
        <v>0</v>
      </c>
      <c r="G312" s="1"/>
      <c r="H312" s="1"/>
      <c r="I312" s="1"/>
      <c r="J312" s="6" t="str">
        <f>IF(E312="x","JUIST","FOUT")</f>
        <v>FOUT</v>
      </c>
      <c r="K312" s="6">
        <f>IF(J312="JUIST",1,0)</f>
        <v>0</v>
      </c>
      <c r="L312" s="3">
        <v>1</v>
      </c>
      <c r="M312" s="1" t="s">
        <v>650</v>
      </c>
      <c r="N312" s="1"/>
    </row>
    <row r="313" spans="1:14" ht="13.5" thickTop="1" x14ac:dyDescent="0.2">
      <c r="A313" s="16" t="s">
        <v>477</v>
      </c>
      <c r="B313" s="41" t="s">
        <v>2295</v>
      </c>
      <c r="C313" s="291"/>
      <c r="D313" s="298"/>
      <c r="E313" s="294"/>
      <c r="F313" s="3"/>
      <c r="G313" s="1"/>
      <c r="H313" s="1"/>
      <c r="I313" s="1"/>
      <c r="J313" s="1"/>
      <c r="K313" s="1"/>
      <c r="L313" s="3"/>
      <c r="M313" s="1"/>
      <c r="N313" s="1"/>
    </row>
    <row r="314" spans="1:14" ht="13.5" thickBot="1" x14ac:dyDescent="0.25">
      <c r="A314" s="16"/>
      <c r="B314" s="59" t="s">
        <v>645</v>
      </c>
      <c r="C314" s="135"/>
      <c r="D314" s="570" t="s">
        <v>995</v>
      </c>
      <c r="E314" s="295" t="s">
        <v>995</v>
      </c>
      <c r="F314" s="3">
        <f>IF(C319="x",M314,0)</f>
        <v>0</v>
      </c>
      <c r="G314" s="1"/>
      <c r="H314" s="1"/>
      <c r="I314" s="1"/>
      <c r="J314" s="6" t="str">
        <f>IF(E314="x","JUIST","FOUT")</f>
        <v>FOUT</v>
      </c>
      <c r="K314" s="6">
        <f>IF(J314="JUIST",1,0)</f>
        <v>0</v>
      </c>
      <c r="L314" s="3">
        <v>1</v>
      </c>
      <c r="M314" s="1" t="s">
        <v>913</v>
      </c>
      <c r="N314" s="1"/>
    </row>
    <row r="315" spans="1:14" ht="13.5" thickTop="1" x14ac:dyDescent="0.2">
      <c r="A315" s="16" t="s">
        <v>478</v>
      </c>
      <c r="B315" s="41" t="s">
        <v>2296</v>
      </c>
      <c r="C315" s="291"/>
      <c r="D315" s="312"/>
      <c r="E315" s="314"/>
      <c r="F315" s="3"/>
      <c r="G315" s="1"/>
      <c r="H315" s="1"/>
      <c r="I315" s="1"/>
      <c r="J315" s="1"/>
      <c r="K315" s="1"/>
      <c r="L315" s="3"/>
      <c r="M315" s="1"/>
      <c r="N315" s="1"/>
    </row>
    <row r="316" spans="1:14" x14ac:dyDescent="0.2">
      <c r="A316" s="16"/>
      <c r="B316" s="59" t="s">
        <v>646</v>
      </c>
      <c r="C316" s="18"/>
      <c r="D316" s="313"/>
      <c r="E316" s="311"/>
      <c r="F316" s="3"/>
      <c r="G316" s="1"/>
      <c r="H316" s="1"/>
      <c r="I316" s="1"/>
      <c r="J316" s="1"/>
      <c r="K316" s="1"/>
      <c r="L316" s="3"/>
      <c r="M316" s="1"/>
      <c r="N316" s="1"/>
    </row>
    <row r="317" spans="1:14" ht="13.5" thickBot="1" x14ac:dyDescent="0.25">
      <c r="A317" s="16"/>
      <c r="B317" s="300" t="s">
        <v>647</v>
      </c>
      <c r="C317" s="308"/>
      <c r="D317" s="580" t="s">
        <v>995</v>
      </c>
      <c r="E317" s="297">
        <v>0</v>
      </c>
      <c r="F317" s="3">
        <f>IF(C319="x",M317,0)</f>
        <v>0</v>
      </c>
      <c r="G317" s="1"/>
      <c r="H317" s="1"/>
      <c r="I317" s="1"/>
      <c r="J317" s="6" t="str">
        <f>IF(D317="x","JUIST","FOUT")</f>
        <v>FOUT</v>
      </c>
      <c r="K317" s="6">
        <f>IF(J317="JUIST",1,0)</f>
        <v>0</v>
      </c>
      <c r="L317" s="3">
        <v>1</v>
      </c>
      <c r="M317" s="1" t="s">
        <v>649</v>
      </c>
      <c r="N317" s="1"/>
    </row>
    <row r="318" spans="1:14" ht="13.5" thickTop="1" x14ac:dyDescent="0.2">
      <c r="A318" s="1"/>
      <c r="B318" s="1"/>
      <c r="C318" s="1"/>
      <c r="D318" s="1"/>
      <c r="E318" s="1"/>
      <c r="F318" s="1"/>
      <c r="G318" s="1"/>
      <c r="H318" s="1"/>
      <c r="I318" s="1"/>
      <c r="J318" s="1"/>
      <c r="K318" s="1"/>
      <c r="L318" s="3"/>
      <c r="M318" s="1"/>
      <c r="N318" s="1"/>
    </row>
    <row r="319" spans="1:14" x14ac:dyDescent="0.2">
      <c r="A319" s="1"/>
      <c r="B319" s="82" t="s">
        <v>1033</v>
      </c>
      <c r="C319" s="318" t="s">
        <v>995</v>
      </c>
      <c r="D319" s="1"/>
      <c r="E319" s="1"/>
      <c r="F319" s="1"/>
      <c r="G319" s="1"/>
      <c r="H319" s="1"/>
      <c r="I319" s="1"/>
      <c r="J319" s="1"/>
      <c r="K319" s="1"/>
      <c r="L319" s="3"/>
      <c r="M319" s="1"/>
      <c r="N319" s="1"/>
    </row>
    <row r="320" spans="1:14" x14ac:dyDescent="0.2">
      <c r="A320" s="1"/>
      <c r="B320" s="275">
        <f>IF(C319="x","Meeste vragen fout? Bestudeer dan HRM voor de lijnmanager!",0)</f>
        <v>0</v>
      </c>
      <c r="C320" s="1"/>
      <c r="D320" s="1"/>
      <c r="E320" s="1"/>
      <c r="F320" s="1"/>
      <c r="G320" s="1"/>
      <c r="H320" s="1"/>
      <c r="I320" s="1"/>
      <c r="J320" s="1"/>
      <c r="K320" s="1"/>
      <c r="L320" s="3"/>
      <c r="M320" s="1"/>
      <c r="N320" s="1"/>
    </row>
    <row r="321" spans="1:14" x14ac:dyDescent="0.2">
      <c r="A321" s="14"/>
      <c r="B321" s="14"/>
      <c r="C321" s="14"/>
      <c r="D321" s="180"/>
      <c r="E321" s="14"/>
      <c r="F321" s="14"/>
      <c r="G321" s="14"/>
      <c r="H321" s="14"/>
      <c r="I321" s="14"/>
      <c r="J321" s="1"/>
      <c r="K321" s="1"/>
      <c r="L321" s="3"/>
      <c r="M321" s="1"/>
      <c r="N321" s="1"/>
    </row>
    <row r="322" spans="1:14" x14ac:dyDescent="0.2">
      <c r="A322" s="1"/>
      <c r="B322" s="1"/>
      <c r="C322" s="1"/>
      <c r="D322" s="1"/>
      <c r="E322" s="1"/>
      <c r="F322" s="1"/>
      <c r="G322" s="1"/>
      <c r="H322" s="1"/>
      <c r="I322" s="1"/>
      <c r="J322" s="1"/>
      <c r="K322" s="1"/>
      <c r="L322" s="3"/>
      <c r="M322" s="1"/>
      <c r="N322" s="1"/>
    </row>
    <row r="323" spans="1:14" x14ac:dyDescent="0.2">
      <c r="A323" s="67" t="s">
        <v>4</v>
      </c>
      <c r="B323" s="1" t="s">
        <v>651</v>
      </c>
      <c r="C323" s="1"/>
      <c r="D323" s="1"/>
      <c r="E323" s="1"/>
      <c r="F323" s="1"/>
      <c r="G323" s="1"/>
      <c r="H323" s="1"/>
      <c r="I323" s="1"/>
      <c r="J323" s="1"/>
      <c r="K323" s="1"/>
      <c r="L323" s="3"/>
      <c r="M323" s="1"/>
      <c r="N323" s="1"/>
    </row>
    <row r="324" spans="1:14" x14ac:dyDescent="0.2">
      <c r="A324" s="1"/>
      <c r="B324" s="1" t="s">
        <v>2297</v>
      </c>
      <c r="C324" s="1"/>
      <c r="D324" s="1"/>
      <c r="E324" s="1"/>
      <c r="F324" s="1"/>
      <c r="G324" s="1"/>
      <c r="H324" s="1"/>
      <c r="I324" s="1"/>
      <c r="J324" s="1"/>
      <c r="K324" s="1"/>
      <c r="L324" s="3"/>
      <c r="M324" s="1"/>
      <c r="N324" s="1"/>
    </row>
    <row r="325" spans="1:14" x14ac:dyDescent="0.2">
      <c r="A325" s="1"/>
      <c r="B325" s="1" t="s">
        <v>652</v>
      </c>
      <c r="C325" s="1"/>
      <c r="D325" s="1"/>
      <c r="E325" s="1"/>
      <c r="F325" s="1"/>
      <c r="G325" s="1"/>
      <c r="H325" s="1"/>
      <c r="I325" s="1"/>
      <c r="J325" s="1"/>
      <c r="K325" s="1"/>
      <c r="L325" s="3"/>
      <c r="M325" s="1"/>
      <c r="N325" s="1"/>
    </row>
    <row r="326" spans="1:14" x14ac:dyDescent="0.2">
      <c r="A326" s="1"/>
      <c r="B326" s="1" t="s">
        <v>2298</v>
      </c>
      <c r="C326" s="1"/>
      <c r="D326" s="1"/>
      <c r="E326" s="1"/>
      <c r="F326" s="1"/>
      <c r="G326" s="1"/>
      <c r="H326" s="1"/>
      <c r="I326" s="1"/>
      <c r="J326" s="1"/>
      <c r="K326" s="1"/>
      <c r="L326" s="3"/>
      <c r="M326" s="1"/>
      <c r="N326" s="1"/>
    </row>
    <row r="327" spans="1:14" x14ac:dyDescent="0.2">
      <c r="A327" s="1"/>
      <c r="B327" s="1" t="s">
        <v>653</v>
      </c>
      <c r="C327" s="1"/>
      <c r="D327" s="1"/>
      <c r="E327" s="1"/>
      <c r="F327" s="1"/>
      <c r="G327" s="1"/>
      <c r="H327" s="1"/>
      <c r="I327" s="1"/>
      <c r="J327" s="1"/>
      <c r="K327" s="1"/>
      <c r="L327" s="3"/>
      <c r="M327" s="1"/>
      <c r="N327" s="1"/>
    </row>
    <row r="328" spans="1:14" x14ac:dyDescent="0.2">
      <c r="A328" s="1"/>
      <c r="B328" s="1" t="s">
        <v>2299</v>
      </c>
      <c r="C328" s="1"/>
      <c r="D328" s="1"/>
      <c r="E328" s="1"/>
      <c r="F328" s="1"/>
      <c r="G328" s="1"/>
      <c r="H328" s="1"/>
      <c r="I328" s="1"/>
      <c r="J328" s="1"/>
      <c r="K328" s="1"/>
      <c r="L328" s="3"/>
      <c r="M328" s="1"/>
      <c r="N328" s="1"/>
    </row>
    <row r="329" spans="1:14" x14ac:dyDescent="0.2">
      <c r="A329" s="1"/>
      <c r="B329" s="81" t="s">
        <v>2300</v>
      </c>
      <c r="C329" s="1"/>
      <c r="D329" s="1"/>
      <c r="E329" s="1"/>
      <c r="F329" s="46">
        <f>IF(C338="x","De juiste",0)</f>
        <v>0</v>
      </c>
      <c r="G329" s="1"/>
      <c r="H329" s="1"/>
      <c r="I329" s="1"/>
      <c r="J329" s="1"/>
      <c r="K329" s="1"/>
      <c r="L329" s="3"/>
      <c r="M329" s="1"/>
      <c r="N329" s="1"/>
    </row>
    <row r="330" spans="1:14" x14ac:dyDescent="0.2">
      <c r="A330" s="1"/>
      <c r="B330" s="81" t="s">
        <v>2301</v>
      </c>
      <c r="C330" s="1"/>
      <c r="D330" s="1"/>
      <c r="E330" s="1"/>
      <c r="F330" s="46">
        <f>IF(C338="x","antwoorden",0)</f>
        <v>0</v>
      </c>
      <c r="G330" s="1"/>
      <c r="H330" s="1"/>
      <c r="I330" s="1"/>
      <c r="J330" s="1"/>
      <c r="K330" s="1"/>
      <c r="L330" s="3"/>
      <c r="M330" s="1"/>
      <c r="N330" s="1"/>
    </row>
    <row r="331" spans="1:14" ht="13.5" thickBot="1" x14ac:dyDescent="0.25">
      <c r="A331" s="1"/>
      <c r="B331" s="1"/>
      <c r="C331" s="1"/>
      <c r="D331" s="292" t="s">
        <v>912</v>
      </c>
      <c r="E331" s="293" t="s">
        <v>913</v>
      </c>
      <c r="F331" s="46">
        <f>IF(C338="x","zijn:",0)</f>
        <v>0</v>
      </c>
      <c r="G331" s="1"/>
      <c r="H331" s="1"/>
      <c r="I331" s="1"/>
      <c r="J331" s="1"/>
      <c r="K331" s="1"/>
      <c r="L331" s="3"/>
      <c r="M331" s="1"/>
      <c r="N331" s="1"/>
    </row>
    <row r="332" spans="1:14" ht="14.25" thickTop="1" thickBot="1" x14ac:dyDescent="0.25">
      <c r="A332" s="16" t="s">
        <v>475</v>
      </c>
      <c r="B332" s="315" t="s">
        <v>654</v>
      </c>
      <c r="C332" s="305"/>
      <c r="D332" s="309">
        <v>0</v>
      </c>
      <c r="E332" s="299">
        <v>0</v>
      </c>
      <c r="F332" s="17">
        <f>IF(C338="x",M332,0)</f>
        <v>0</v>
      </c>
      <c r="G332" s="1"/>
      <c r="H332" s="1"/>
      <c r="I332" s="1"/>
      <c r="J332" s="6" t="str">
        <f>IF(D332="x","JUIST","FOUT")</f>
        <v>FOUT</v>
      </c>
      <c r="K332" s="6">
        <f>IF(J332="JUIST",1,0)</f>
        <v>0</v>
      </c>
      <c r="L332" s="3">
        <v>1</v>
      </c>
      <c r="M332" s="1" t="s">
        <v>658</v>
      </c>
      <c r="N332" s="1"/>
    </row>
    <row r="333" spans="1:14" ht="14.25" thickTop="1" thickBot="1" x14ac:dyDescent="0.25">
      <c r="A333" s="16" t="s">
        <v>476</v>
      </c>
      <c r="B333" s="304" t="s">
        <v>655</v>
      </c>
      <c r="C333" s="305"/>
      <c r="D333" s="309">
        <v>0</v>
      </c>
      <c r="E333" s="299">
        <v>0</v>
      </c>
      <c r="F333" s="17">
        <f>IF(C338="x",M333,0)</f>
        <v>0</v>
      </c>
      <c r="G333" s="1"/>
      <c r="H333" s="1"/>
      <c r="I333" s="1"/>
      <c r="J333" s="6" t="str">
        <f>IF(E333="x","JUIST","FOUT")</f>
        <v>FOUT</v>
      </c>
      <c r="K333" s="6">
        <f>IF(J333="JUIST",1,0)</f>
        <v>0</v>
      </c>
      <c r="L333" s="3">
        <v>1</v>
      </c>
      <c r="M333" s="1" t="s">
        <v>659</v>
      </c>
      <c r="N333" s="1"/>
    </row>
    <row r="334" spans="1:14" ht="14.25" thickTop="1" thickBot="1" x14ac:dyDescent="0.25">
      <c r="A334" s="16" t="s">
        <v>477</v>
      </c>
      <c r="B334" s="304" t="s">
        <v>656</v>
      </c>
      <c r="C334" s="305"/>
      <c r="D334" s="309">
        <v>0</v>
      </c>
      <c r="E334" s="299">
        <v>0</v>
      </c>
      <c r="F334" s="17">
        <f>IF(C338="x",M334,0)</f>
        <v>0</v>
      </c>
      <c r="G334" s="1"/>
      <c r="H334" s="1"/>
      <c r="I334" s="1"/>
      <c r="J334" s="6" t="str">
        <f>IF(D334="x","JUIST","FOUT")</f>
        <v>FOUT</v>
      </c>
      <c r="K334" s="6">
        <f>IF(J334="JUIST",1,0)</f>
        <v>0</v>
      </c>
      <c r="L334" s="3">
        <v>1</v>
      </c>
      <c r="M334" s="1" t="s">
        <v>658</v>
      </c>
      <c r="N334" s="1"/>
    </row>
    <row r="335" spans="1:14" ht="14.25" thickTop="1" thickBot="1" x14ac:dyDescent="0.25">
      <c r="A335" s="16" t="s">
        <v>478</v>
      </c>
      <c r="B335" s="510" t="s">
        <v>657</v>
      </c>
      <c r="C335" s="316"/>
      <c r="D335" s="309">
        <v>0</v>
      </c>
      <c r="E335" s="299">
        <v>0</v>
      </c>
      <c r="F335" s="17">
        <f>IF(C338="x",M335,0)</f>
        <v>0</v>
      </c>
      <c r="G335" s="17"/>
      <c r="H335" s="1"/>
      <c r="I335" s="1"/>
      <c r="J335" s="6" t="str">
        <f>IF(E335="x","JUIST","FOUT")</f>
        <v>FOUT</v>
      </c>
      <c r="K335" s="6">
        <f>IF(J335="JUIST",1,0)</f>
        <v>0</v>
      </c>
      <c r="L335" s="3">
        <v>1</v>
      </c>
      <c r="M335" s="1" t="s">
        <v>660</v>
      </c>
      <c r="N335" s="1"/>
    </row>
    <row r="336" spans="1:14" ht="14.25" thickTop="1" thickBot="1" x14ac:dyDescent="0.25">
      <c r="A336" s="16" t="s">
        <v>479</v>
      </c>
      <c r="B336" s="304" t="s">
        <v>661</v>
      </c>
      <c r="C336" s="305"/>
      <c r="D336" s="309">
        <v>0</v>
      </c>
      <c r="E336" s="299">
        <v>0</v>
      </c>
      <c r="F336" s="17">
        <f>IF(C338="x",M336,0)</f>
        <v>0</v>
      </c>
      <c r="G336" s="17"/>
      <c r="H336" s="1"/>
      <c r="I336" s="1"/>
      <c r="J336" s="6" t="str">
        <f>IF(E336="x","JUIST","FOUT")</f>
        <v>FOUT</v>
      </c>
      <c r="K336" s="6">
        <f>IF(J336="JUIST",1,0)</f>
        <v>0</v>
      </c>
      <c r="L336" s="3">
        <v>1</v>
      </c>
      <c r="M336" s="1" t="s">
        <v>660</v>
      </c>
      <c r="N336" s="1"/>
    </row>
    <row r="337" spans="1:14" ht="13.5" thickTop="1" x14ac:dyDescent="0.2">
      <c r="A337" s="1"/>
      <c r="B337" s="1"/>
      <c r="C337" s="1"/>
      <c r="D337" s="1"/>
      <c r="E337" s="1"/>
      <c r="F337" s="1"/>
      <c r="G337" s="1"/>
      <c r="H337" s="1"/>
      <c r="I337" s="1"/>
      <c r="J337" s="1"/>
      <c r="K337" s="1"/>
      <c r="L337" s="3"/>
      <c r="M337" s="1"/>
      <c r="N337" s="1"/>
    </row>
    <row r="338" spans="1:14" x14ac:dyDescent="0.2">
      <c r="A338" s="1"/>
      <c r="B338" s="82" t="s">
        <v>1033</v>
      </c>
      <c r="C338" s="318" t="s">
        <v>995</v>
      </c>
      <c r="D338" s="1"/>
      <c r="E338" s="1"/>
      <c r="F338" s="1"/>
      <c r="G338" s="1"/>
      <c r="H338" s="1"/>
      <c r="I338" s="1"/>
      <c r="J338" s="1"/>
      <c r="K338" s="1"/>
      <c r="L338" s="3"/>
      <c r="M338" s="1"/>
      <c r="N338" s="1"/>
    </row>
    <row r="339" spans="1:14" x14ac:dyDescent="0.2">
      <c r="A339" s="1"/>
      <c r="B339" s="1"/>
      <c r="C339" s="1"/>
      <c r="D339" s="1"/>
      <c r="E339" s="1"/>
      <c r="F339" s="1"/>
      <c r="G339" s="1"/>
      <c r="H339" s="1"/>
      <c r="I339" s="1"/>
      <c r="J339" s="1"/>
      <c r="K339" s="1"/>
      <c r="L339" s="3"/>
      <c r="M339" s="1"/>
      <c r="N339" s="1"/>
    </row>
    <row r="340" spans="1:14" x14ac:dyDescent="0.2">
      <c r="A340" s="14"/>
      <c r="B340" s="14"/>
      <c r="C340" s="14"/>
      <c r="D340" s="180"/>
      <c r="E340" s="14"/>
      <c r="F340" s="14"/>
      <c r="G340" s="14"/>
      <c r="H340" s="14"/>
      <c r="I340" s="14"/>
      <c r="J340" s="1"/>
      <c r="K340" s="1"/>
      <c r="L340" s="3"/>
      <c r="M340" s="1"/>
      <c r="N340" s="1"/>
    </row>
    <row r="341" spans="1:14" x14ac:dyDescent="0.2">
      <c r="A341" s="1"/>
      <c r="B341" s="1"/>
      <c r="C341" s="1"/>
      <c r="D341" s="1"/>
      <c r="E341" s="1"/>
      <c r="F341" s="1"/>
      <c r="G341" s="1"/>
      <c r="H341" s="1"/>
      <c r="I341" s="1"/>
      <c r="J341" s="1"/>
      <c r="K341" s="1"/>
      <c r="L341" s="3"/>
      <c r="M341" s="1"/>
      <c r="N341" s="1"/>
    </row>
    <row r="342" spans="1:14" ht="13.5" thickBot="1" x14ac:dyDescent="0.25">
      <c r="A342" s="67" t="s">
        <v>351</v>
      </c>
      <c r="B342" s="1" t="s">
        <v>2302</v>
      </c>
      <c r="C342" s="1"/>
      <c r="E342" s="1"/>
      <c r="F342" s="58" t="s">
        <v>667</v>
      </c>
      <c r="G342" s="310" t="s">
        <v>666</v>
      </c>
      <c r="H342" s="46"/>
      <c r="I342" s="1"/>
      <c r="J342" s="1"/>
      <c r="K342" s="1"/>
      <c r="L342" s="3"/>
      <c r="M342" s="1"/>
      <c r="N342" s="1"/>
    </row>
    <row r="343" spans="1:14" ht="14.25" thickTop="1" thickBot="1" x14ac:dyDescent="0.25">
      <c r="A343" s="1"/>
      <c r="B343" s="1" t="s">
        <v>2303</v>
      </c>
      <c r="C343" s="1"/>
      <c r="D343" s="600" t="s">
        <v>2307</v>
      </c>
      <c r="E343" s="305"/>
      <c r="F343" s="572" t="s">
        <v>995</v>
      </c>
      <c r="G343" s="572" t="s">
        <v>995</v>
      </c>
      <c r="H343" s="3"/>
      <c r="I343" s="1"/>
      <c r="J343" s="6" t="str">
        <f>IF(F343="x","JUIST","FOUT")</f>
        <v>FOUT</v>
      </c>
      <c r="K343" s="6">
        <f t="shared" ref="K343:K350" si="0">IF(J343="JUIST",1,0)</f>
        <v>0</v>
      </c>
      <c r="L343" s="3">
        <v>1</v>
      </c>
      <c r="M343" s="1" t="s">
        <v>667</v>
      </c>
      <c r="N343" s="1"/>
    </row>
    <row r="344" spans="1:14" ht="14.25" thickTop="1" thickBot="1" x14ac:dyDescent="0.25">
      <c r="A344" s="1"/>
      <c r="B344" s="1" t="s">
        <v>2304</v>
      </c>
      <c r="C344" s="1"/>
      <c r="D344" s="315" t="s">
        <v>668</v>
      </c>
      <c r="E344" s="317"/>
      <c r="F344" s="582" t="s">
        <v>995</v>
      </c>
      <c r="G344" s="582" t="s">
        <v>995</v>
      </c>
      <c r="H344" s="3"/>
      <c r="I344" s="1"/>
      <c r="J344" s="6" t="str">
        <f>IF(G344="x","JUIST","FOUT")</f>
        <v>FOUT</v>
      </c>
      <c r="K344" s="6">
        <f t="shared" si="0"/>
        <v>0</v>
      </c>
      <c r="L344" s="3">
        <v>1</v>
      </c>
      <c r="M344" s="1" t="s">
        <v>666</v>
      </c>
      <c r="N344" s="1"/>
    </row>
    <row r="345" spans="1:14" ht="14.25" thickTop="1" thickBot="1" x14ac:dyDescent="0.25">
      <c r="A345" s="1"/>
      <c r="B345" s="67" t="s">
        <v>663</v>
      </c>
      <c r="C345" s="1"/>
      <c r="D345" s="304" t="s">
        <v>669</v>
      </c>
      <c r="E345" s="305"/>
      <c r="F345" s="572" t="s">
        <v>995</v>
      </c>
      <c r="G345" s="572" t="s">
        <v>995</v>
      </c>
      <c r="H345" s="3"/>
      <c r="I345" s="1"/>
      <c r="J345" s="6" t="str">
        <f>IF(G345="x","JUIST","FOUT")</f>
        <v>FOUT</v>
      </c>
      <c r="K345" s="6">
        <f t="shared" si="0"/>
        <v>0</v>
      </c>
      <c r="L345" s="3">
        <v>1</v>
      </c>
      <c r="M345" s="1" t="s">
        <v>666</v>
      </c>
      <c r="N345" s="1"/>
    </row>
    <row r="346" spans="1:14" ht="14.25" thickTop="1" thickBot="1" x14ac:dyDescent="0.25">
      <c r="A346" s="1"/>
      <c r="C346" s="1"/>
      <c r="D346" s="304" t="s">
        <v>670</v>
      </c>
      <c r="E346" s="305"/>
      <c r="F346" s="572" t="s">
        <v>995</v>
      </c>
      <c r="G346" s="572" t="s">
        <v>995</v>
      </c>
      <c r="H346" s="3"/>
      <c r="I346" s="1"/>
      <c r="J346" s="6" t="str">
        <f>IF(F346="x","JUIST","FOUT")</f>
        <v>FOUT</v>
      </c>
      <c r="K346" s="6">
        <f t="shared" si="0"/>
        <v>0</v>
      </c>
      <c r="L346" s="3">
        <v>1</v>
      </c>
      <c r="M346" s="1" t="s">
        <v>667</v>
      </c>
      <c r="N346" s="1"/>
    </row>
    <row r="347" spans="1:14" ht="14.25" thickTop="1" thickBot="1" x14ac:dyDescent="0.25">
      <c r="A347" s="1"/>
      <c r="B347" s="81" t="s">
        <v>664</v>
      </c>
      <c r="C347" s="1"/>
      <c r="D347" s="304" t="s">
        <v>671</v>
      </c>
      <c r="E347" s="305"/>
      <c r="F347" s="572" t="s">
        <v>995</v>
      </c>
      <c r="G347" s="572" t="s">
        <v>995</v>
      </c>
      <c r="H347" s="3"/>
      <c r="I347" s="1"/>
      <c r="J347" s="6" t="str">
        <f>IF(F347="x","JUIST","FOUT")</f>
        <v>FOUT</v>
      </c>
      <c r="K347" s="6">
        <f t="shared" si="0"/>
        <v>0</v>
      </c>
      <c r="L347" s="3">
        <v>1</v>
      </c>
      <c r="M347" s="1" t="s">
        <v>667</v>
      </c>
      <c r="N347" s="1"/>
    </row>
    <row r="348" spans="1:14" ht="14.25" thickTop="1" thickBot="1" x14ac:dyDescent="0.25">
      <c r="A348" s="1"/>
      <c r="B348" s="81" t="s">
        <v>665</v>
      </c>
      <c r="C348" s="1"/>
      <c r="D348" s="315" t="s">
        <v>672</v>
      </c>
      <c r="E348" s="317"/>
      <c r="F348" s="572" t="s">
        <v>995</v>
      </c>
      <c r="G348" s="572" t="s">
        <v>995</v>
      </c>
      <c r="H348" s="3"/>
      <c r="I348" s="1"/>
      <c r="J348" s="6" t="str">
        <f>IF(G348="x","JUIST","FOUT")</f>
        <v>FOUT</v>
      </c>
      <c r="K348" s="6">
        <f t="shared" si="0"/>
        <v>0</v>
      </c>
      <c r="L348" s="3">
        <v>1</v>
      </c>
      <c r="M348" s="1" t="s">
        <v>666</v>
      </c>
      <c r="N348" s="1"/>
    </row>
    <row r="349" spans="1:14" ht="14.25" thickTop="1" thickBot="1" x14ac:dyDescent="0.25">
      <c r="A349" s="1"/>
      <c r="B349" s="81" t="s">
        <v>2305</v>
      </c>
      <c r="C349" s="1"/>
      <c r="D349" s="304" t="s">
        <v>673</v>
      </c>
      <c r="E349" s="305"/>
      <c r="F349" s="581" t="s">
        <v>995</v>
      </c>
      <c r="G349" s="581" t="s">
        <v>995</v>
      </c>
      <c r="H349" s="3"/>
      <c r="I349" s="1"/>
      <c r="J349" s="6" t="str">
        <f>IF(G349="x","JUIST","FOUT")</f>
        <v>FOUT</v>
      </c>
      <c r="K349" s="6">
        <f t="shared" si="0"/>
        <v>0</v>
      </c>
      <c r="L349" s="3">
        <v>1</v>
      </c>
      <c r="M349" s="1" t="s">
        <v>666</v>
      </c>
      <c r="N349" s="1"/>
    </row>
    <row r="350" spans="1:14" ht="14.25" thickTop="1" thickBot="1" x14ac:dyDescent="0.25">
      <c r="A350" s="1"/>
      <c r="B350" s="81" t="s">
        <v>2306</v>
      </c>
      <c r="C350" s="1"/>
      <c r="D350" s="304" t="s">
        <v>674</v>
      </c>
      <c r="E350" s="305"/>
      <c r="F350" s="572" t="s">
        <v>995</v>
      </c>
      <c r="G350" s="572" t="s">
        <v>995</v>
      </c>
      <c r="H350" s="3"/>
      <c r="I350" s="1"/>
      <c r="J350" s="6" t="str">
        <f>IF(G350="x","JUIST","FOUT")</f>
        <v>FOUT</v>
      </c>
      <c r="K350" s="6">
        <f t="shared" si="0"/>
        <v>0</v>
      </c>
      <c r="L350" s="3">
        <v>1</v>
      </c>
      <c r="M350" s="1" t="s">
        <v>666</v>
      </c>
      <c r="N350" s="1"/>
    </row>
    <row r="351" spans="1:14" ht="13.5" thickTop="1" x14ac:dyDescent="0.2">
      <c r="A351" s="1"/>
      <c r="B351" s="1"/>
      <c r="C351" s="1"/>
      <c r="D351" s="1"/>
      <c r="E351" s="1"/>
      <c r="F351" s="1"/>
      <c r="G351" s="1"/>
      <c r="H351" s="1"/>
      <c r="I351" s="1"/>
      <c r="J351" s="1"/>
      <c r="K351" s="1"/>
      <c r="L351" s="3"/>
      <c r="M351" s="1"/>
      <c r="N351" s="1"/>
    </row>
    <row r="352" spans="1:14" x14ac:dyDescent="0.2">
      <c r="A352" s="14"/>
      <c r="B352" s="14"/>
      <c r="C352" s="14"/>
      <c r="D352" s="180"/>
      <c r="E352" s="14"/>
      <c r="F352" s="14"/>
      <c r="G352" s="14"/>
      <c r="H352" s="14"/>
      <c r="I352" s="14"/>
      <c r="J352" s="1"/>
      <c r="K352" s="1"/>
      <c r="L352" s="3"/>
      <c r="M352" s="1"/>
      <c r="N352" s="1"/>
    </row>
    <row r="353" spans="1:14" x14ac:dyDescent="0.2">
      <c r="A353" s="1"/>
      <c r="B353" s="1"/>
      <c r="C353" s="1"/>
      <c r="D353" s="1"/>
      <c r="E353" s="1"/>
      <c r="F353" s="1"/>
      <c r="G353" s="1"/>
      <c r="H353" s="1"/>
      <c r="I353" s="1"/>
      <c r="J353" s="1"/>
      <c r="K353" s="1"/>
      <c r="L353" s="3"/>
      <c r="M353" s="1"/>
      <c r="N353" s="1"/>
    </row>
    <row r="354" spans="1:14" ht="26.25" thickBot="1" x14ac:dyDescent="0.25">
      <c r="A354" s="67" t="s">
        <v>352</v>
      </c>
      <c r="B354" s="103" t="s">
        <v>2308</v>
      </c>
      <c r="C354" s="102" t="s">
        <v>446</v>
      </c>
      <c r="D354" s="102" t="s">
        <v>1623</v>
      </c>
      <c r="E354" s="526" t="s">
        <v>2119</v>
      </c>
      <c r="F354" s="527" t="s">
        <v>2120</v>
      </c>
      <c r="G354" s="1"/>
      <c r="H354" s="1"/>
      <c r="I354" s="1"/>
      <c r="J354" s="1"/>
      <c r="K354" s="1"/>
      <c r="L354" s="3"/>
      <c r="M354" s="3"/>
      <c r="N354" s="1"/>
    </row>
    <row r="355" spans="1:14" ht="13.5" thickTop="1" x14ac:dyDescent="0.2">
      <c r="A355" s="1"/>
      <c r="B355" s="200" t="s">
        <v>2309</v>
      </c>
      <c r="C355" s="425" t="s">
        <v>995</v>
      </c>
      <c r="D355" s="425" t="s">
        <v>995</v>
      </c>
      <c r="E355" s="425" t="s">
        <v>995</v>
      </c>
      <c r="F355" s="425" t="s">
        <v>995</v>
      </c>
      <c r="G355" s="1"/>
      <c r="H355" s="1"/>
      <c r="I355" s="1"/>
      <c r="J355" s="5" t="str">
        <f>IF(C355="x","FOUT","")</f>
        <v/>
      </c>
      <c r="K355" s="5">
        <f>ABS(IF(J355="JUIST","1","0"))</f>
        <v>0</v>
      </c>
      <c r="L355" s="3">
        <v>0</v>
      </c>
      <c r="M355" s="3"/>
      <c r="N355" s="1"/>
    </row>
    <row r="356" spans="1:14" x14ac:dyDescent="0.2">
      <c r="A356" s="1"/>
      <c r="B356" s="61" t="s">
        <v>2310</v>
      </c>
      <c r="C356" s="3" t="s">
        <v>475</v>
      </c>
      <c r="D356" s="3" t="s">
        <v>476</v>
      </c>
      <c r="E356" s="3" t="s">
        <v>477</v>
      </c>
      <c r="F356" s="3" t="s">
        <v>478</v>
      </c>
      <c r="G356" s="1"/>
      <c r="H356" s="1"/>
      <c r="I356" s="1"/>
      <c r="J356" s="5" t="str">
        <f>IF(D355="x","JUIST","")</f>
        <v/>
      </c>
      <c r="K356" s="5">
        <f>ABS(IF(J356="JUIST","1","0"))</f>
        <v>0</v>
      </c>
      <c r="L356" s="3">
        <v>1</v>
      </c>
      <c r="M356" s="3" t="s">
        <v>476</v>
      </c>
      <c r="N356" s="1"/>
    </row>
    <row r="357" spans="1:14" x14ac:dyDescent="0.2">
      <c r="A357" s="1"/>
      <c r="B357" s="67" t="s">
        <v>2311</v>
      </c>
      <c r="C357" s="3"/>
      <c r="D357" s="3"/>
      <c r="E357" s="3"/>
      <c r="F357" s="3"/>
      <c r="G357" s="1"/>
      <c r="H357" s="1"/>
      <c r="I357" s="1"/>
      <c r="J357" s="5" t="str">
        <f>IF(E355="x","FOUT","")</f>
        <v/>
      </c>
      <c r="K357" s="5">
        <f>ABS(IF(J357="JUIST","1","0"))</f>
        <v>0</v>
      </c>
      <c r="L357" s="3">
        <v>0</v>
      </c>
      <c r="M357" s="3"/>
      <c r="N357" s="1"/>
    </row>
    <row r="358" spans="1:14" x14ac:dyDescent="0.2">
      <c r="A358" s="1"/>
      <c r="B358" s="1" t="s">
        <v>995</v>
      </c>
      <c r="C358" s="1"/>
      <c r="D358" s="1"/>
      <c r="E358" s="1"/>
      <c r="F358" s="1"/>
      <c r="G358" s="1"/>
      <c r="H358" s="1"/>
      <c r="I358" s="1"/>
      <c r="J358" s="5" t="str">
        <f>IF(F355="x","FOUT","")</f>
        <v/>
      </c>
      <c r="K358" s="5">
        <f>ABS(IF(J358="JUIST","1","0"))</f>
        <v>0</v>
      </c>
      <c r="L358" s="3">
        <v>0</v>
      </c>
      <c r="M358" s="3"/>
      <c r="N358" s="1"/>
    </row>
    <row r="359" spans="1:14" x14ac:dyDescent="0.2">
      <c r="A359" s="1"/>
      <c r="B359" s="80" t="s">
        <v>333</v>
      </c>
      <c r="C359" s="1"/>
      <c r="D359" s="1"/>
      <c r="E359" s="1"/>
      <c r="F359" s="1"/>
      <c r="G359" s="1"/>
      <c r="H359" s="1"/>
      <c r="I359" s="1"/>
      <c r="J359" s="1"/>
      <c r="L359" s="3" t="s">
        <v>995</v>
      </c>
      <c r="M359" s="3"/>
      <c r="N359" s="1"/>
    </row>
    <row r="360" spans="1:14" x14ac:dyDescent="0.2">
      <c r="A360" s="1"/>
      <c r="B360" s="81" t="s">
        <v>895</v>
      </c>
      <c r="C360" s="1"/>
      <c r="D360" s="1"/>
      <c r="E360" s="1"/>
      <c r="F360" s="1"/>
      <c r="G360" s="1"/>
      <c r="H360" s="1"/>
      <c r="I360" s="1"/>
      <c r="J360" s="79" t="s">
        <v>995</v>
      </c>
      <c r="K360" s="1"/>
      <c r="L360" s="3"/>
      <c r="M360" s="5" t="s">
        <v>25</v>
      </c>
      <c r="N360" s="1"/>
    </row>
    <row r="361" spans="1:14" x14ac:dyDescent="0.2">
      <c r="A361" s="1"/>
      <c r="C361" s="1"/>
      <c r="D361" s="1"/>
      <c r="E361" s="1"/>
      <c r="G361" s="1"/>
      <c r="H361" s="1"/>
      <c r="I361" s="1"/>
      <c r="K361" s="1"/>
      <c r="L361" s="3"/>
      <c r="M361" s="5">
        <v>0</v>
      </c>
      <c r="N361" s="1"/>
    </row>
    <row r="362" spans="1:14" x14ac:dyDescent="0.2">
      <c r="A362" s="1"/>
      <c r="B362" s="82" t="s">
        <v>1033</v>
      </c>
      <c r="C362" s="318" t="s">
        <v>995</v>
      </c>
      <c r="D362" s="1"/>
      <c r="E362" s="1"/>
      <c r="F362" s="79"/>
      <c r="G362" s="1"/>
      <c r="H362" s="1"/>
      <c r="I362" s="1"/>
      <c r="J362" s="1"/>
      <c r="K362" s="1"/>
      <c r="L362" s="3"/>
      <c r="M362" s="5">
        <v>0</v>
      </c>
      <c r="N362" s="1"/>
    </row>
    <row r="363" spans="1:14" x14ac:dyDescent="0.2">
      <c r="A363" s="1"/>
      <c r="B363" s="52" t="str">
        <f>J363</f>
        <v/>
      </c>
      <c r="C363" s="1"/>
      <c r="D363" s="1"/>
      <c r="E363" s="1"/>
      <c r="F363" s="252"/>
      <c r="G363" s="1"/>
      <c r="H363" s="1"/>
      <c r="I363" s="1"/>
      <c r="J363" s="73" t="str">
        <f>IF(C362="x","Het juiste antwoord is: B .","")</f>
        <v/>
      </c>
      <c r="K363" s="1"/>
      <c r="L363" s="3"/>
      <c r="M363" s="3"/>
      <c r="N363" s="1"/>
    </row>
    <row r="364" spans="1:14" x14ac:dyDescent="0.2">
      <c r="A364" s="14"/>
      <c r="B364" s="14"/>
      <c r="C364" s="14"/>
      <c r="D364" s="180"/>
      <c r="E364" s="14"/>
      <c r="F364" s="14"/>
      <c r="G364" s="14"/>
      <c r="H364" s="14"/>
      <c r="I364" s="14"/>
      <c r="J364" s="1"/>
      <c r="K364" s="1"/>
      <c r="L364" s="3"/>
      <c r="M364" s="1"/>
      <c r="N364" s="1"/>
    </row>
    <row r="365" spans="1:14" x14ac:dyDescent="0.2">
      <c r="A365" s="1" t="s">
        <v>995</v>
      </c>
      <c r="B365" s="1"/>
      <c r="C365" s="1"/>
      <c r="D365" s="1"/>
      <c r="E365" s="1"/>
      <c r="F365" s="1"/>
      <c r="G365" s="1"/>
      <c r="H365" s="1"/>
      <c r="I365" s="1"/>
      <c r="J365" s="1"/>
      <c r="K365" s="1"/>
      <c r="L365" s="3"/>
      <c r="M365" s="1"/>
      <c r="N365" s="1"/>
    </row>
    <row r="366" spans="1:14" ht="26.25" thickBot="1" x14ac:dyDescent="0.25">
      <c r="A366" s="67" t="s">
        <v>395</v>
      </c>
      <c r="B366" s="103" t="s">
        <v>2312</v>
      </c>
      <c r="C366" s="102" t="s">
        <v>446</v>
      </c>
      <c r="D366" s="102" t="s">
        <v>1623</v>
      </c>
      <c r="E366" s="526" t="s">
        <v>2119</v>
      </c>
      <c r="F366" s="527" t="s">
        <v>2120</v>
      </c>
      <c r="G366" s="1"/>
      <c r="H366" s="1"/>
      <c r="I366" s="1"/>
      <c r="J366" s="1"/>
      <c r="K366" s="1"/>
      <c r="L366" s="3"/>
      <c r="M366" s="3"/>
      <c r="N366" s="1"/>
    </row>
    <row r="367" spans="1:14" ht="13.5" thickTop="1" x14ac:dyDescent="0.2">
      <c r="A367" s="1"/>
      <c r="B367" s="200" t="s">
        <v>2313</v>
      </c>
      <c r="C367" s="425" t="s">
        <v>995</v>
      </c>
      <c r="D367" s="425" t="s">
        <v>995</v>
      </c>
      <c r="E367" s="425" t="s">
        <v>995</v>
      </c>
      <c r="F367" s="425" t="s">
        <v>995</v>
      </c>
      <c r="G367" s="1"/>
      <c r="H367" s="1"/>
      <c r="I367" s="1"/>
      <c r="J367" s="5" t="str">
        <f>IF(C367="x","FOUT","")</f>
        <v/>
      </c>
      <c r="K367" s="5">
        <f>ABS(IF(J367="JUIST","1","0"))</f>
        <v>0</v>
      </c>
      <c r="L367" s="3">
        <v>0</v>
      </c>
      <c r="M367" s="3"/>
      <c r="N367" s="1"/>
    </row>
    <row r="368" spans="1:14" x14ac:dyDescent="0.2">
      <c r="A368" s="1"/>
      <c r="B368" s="61" t="s">
        <v>2314</v>
      </c>
      <c r="C368" s="3" t="s">
        <v>475</v>
      </c>
      <c r="D368" s="3" t="s">
        <v>476</v>
      </c>
      <c r="E368" s="3" t="s">
        <v>477</v>
      </c>
      <c r="F368" s="3" t="s">
        <v>478</v>
      </c>
      <c r="G368" s="1"/>
      <c r="H368" s="1"/>
      <c r="I368" s="1"/>
      <c r="J368" s="5" t="str">
        <f>IF(D367="x","FOUT","")</f>
        <v/>
      </c>
      <c r="K368" s="5">
        <f>ABS(IF(J368="JUIST","1","0"))</f>
        <v>0</v>
      </c>
      <c r="L368" s="3">
        <v>0</v>
      </c>
      <c r="M368" s="3"/>
      <c r="N368" s="1"/>
    </row>
    <row r="369" spans="1:14" x14ac:dyDescent="0.2">
      <c r="A369" s="1"/>
      <c r="B369" s="67" t="s">
        <v>2315</v>
      </c>
      <c r="C369" s="3"/>
      <c r="D369" s="3"/>
      <c r="E369" s="3"/>
      <c r="F369" s="3"/>
      <c r="G369" s="1"/>
      <c r="H369" s="1"/>
      <c r="I369" s="1"/>
      <c r="J369" s="5" t="str">
        <f>IF(E367="x","JUIST","")</f>
        <v/>
      </c>
      <c r="K369" s="5">
        <f>ABS(IF(J369="JUIST","1","0"))</f>
        <v>0</v>
      </c>
      <c r="L369" s="3">
        <v>1</v>
      </c>
      <c r="M369" s="3" t="s">
        <v>477</v>
      </c>
      <c r="N369" s="1"/>
    </row>
    <row r="370" spans="1:14" x14ac:dyDescent="0.2">
      <c r="A370" s="1"/>
      <c r="B370" s="1" t="s">
        <v>995</v>
      </c>
      <c r="C370" s="1"/>
      <c r="D370" s="1"/>
      <c r="E370" s="1"/>
      <c r="F370" s="1"/>
      <c r="G370" s="1"/>
      <c r="H370" s="1"/>
      <c r="I370" s="1"/>
      <c r="J370" s="5" t="str">
        <f>IF(F367="x","FOUT","")</f>
        <v/>
      </c>
      <c r="K370" s="5">
        <f>ABS(IF(J370="JUIST","1","0"))</f>
        <v>0</v>
      </c>
      <c r="L370" s="3">
        <v>0</v>
      </c>
      <c r="M370" s="3"/>
      <c r="N370" s="1"/>
    </row>
    <row r="371" spans="1:14" x14ac:dyDescent="0.2">
      <c r="A371" s="1"/>
      <c r="B371" s="80" t="s">
        <v>333</v>
      </c>
      <c r="C371" s="1"/>
      <c r="D371" s="1"/>
      <c r="E371" s="1"/>
      <c r="F371" s="1"/>
      <c r="G371" s="1"/>
      <c r="H371" s="1"/>
      <c r="I371" s="1"/>
      <c r="J371" s="1"/>
      <c r="L371" s="3" t="s">
        <v>995</v>
      </c>
      <c r="M371" s="3"/>
      <c r="N371" s="1"/>
    </row>
    <row r="372" spans="1:14" x14ac:dyDescent="0.2">
      <c r="A372" s="1"/>
      <c r="B372" s="81" t="s">
        <v>895</v>
      </c>
      <c r="C372" s="1"/>
      <c r="D372" s="1"/>
      <c r="E372" s="1"/>
      <c r="F372" s="1"/>
      <c r="G372" s="1"/>
      <c r="H372" s="1"/>
      <c r="I372" s="1"/>
      <c r="J372" s="79" t="s">
        <v>995</v>
      </c>
      <c r="K372" s="1"/>
      <c r="L372" s="3"/>
      <c r="M372" s="5" t="s">
        <v>25</v>
      </c>
      <c r="N372" s="1"/>
    </row>
    <row r="373" spans="1:14" x14ac:dyDescent="0.2">
      <c r="A373" s="1"/>
      <c r="C373" s="1"/>
      <c r="D373" s="1"/>
      <c r="E373" s="1"/>
      <c r="G373" s="1"/>
      <c r="H373" s="1"/>
      <c r="I373" s="1"/>
      <c r="K373" s="1"/>
      <c r="L373" s="3"/>
      <c r="M373" s="5">
        <v>0</v>
      </c>
      <c r="N373" s="1"/>
    </row>
    <row r="374" spans="1:14" x14ac:dyDescent="0.2">
      <c r="A374" s="1"/>
      <c r="B374" s="82" t="s">
        <v>1033</v>
      </c>
      <c r="C374" s="318" t="s">
        <v>995</v>
      </c>
      <c r="D374" s="1"/>
      <c r="E374" s="1"/>
      <c r="F374" s="79"/>
      <c r="G374" s="1"/>
      <c r="H374" s="1"/>
      <c r="I374" s="1"/>
      <c r="J374" s="1"/>
      <c r="K374" s="1"/>
      <c r="L374" s="3"/>
      <c r="M374" s="5">
        <v>0</v>
      </c>
      <c r="N374" s="1"/>
    </row>
    <row r="375" spans="1:14" x14ac:dyDescent="0.2">
      <c r="A375" s="1"/>
      <c r="B375" s="52" t="str">
        <f>J375</f>
        <v/>
      </c>
      <c r="C375" s="1"/>
      <c r="D375" s="1"/>
      <c r="E375" s="1"/>
      <c r="F375" s="252"/>
      <c r="G375" s="1"/>
      <c r="H375" s="1"/>
      <c r="I375" s="1"/>
      <c r="J375" s="73" t="str">
        <f>IF(C374="x","Het juiste antwoord is: C .","")</f>
        <v/>
      </c>
      <c r="K375" s="1"/>
      <c r="L375" s="3"/>
      <c r="M375" s="3"/>
      <c r="N375" s="1"/>
    </row>
    <row r="376" spans="1:14" x14ac:dyDescent="0.2">
      <c r="A376" s="14"/>
      <c r="B376" s="14"/>
      <c r="C376" s="14"/>
      <c r="D376" s="180"/>
      <c r="E376" s="14"/>
      <c r="F376" s="14"/>
      <c r="G376" s="14"/>
      <c r="H376" s="14"/>
      <c r="I376" s="14"/>
      <c r="J376" s="1"/>
      <c r="K376" s="1"/>
      <c r="L376" s="3"/>
      <c r="M376" s="1"/>
      <c r="N376" s="1"/>
    </row>
    <row r="377" spans="1:14" x14ac:dyDescent="0.2">
      <c r="A377" s="1"/>
      <c r="B377" s="1"/>
      <c r="C377" s="1"/>
      <c r="D377" s="1"/>
      <c r="E377" s="1"/>
      <c r="F377" s="1"/>
      <c r="G377" s="1"/>
      <c r="H377" s="1"/>
      <c r="I377" s="1"/>
      <c r="J377" s="1"/>
      <c r="K377" s="1"/>
      <c r="L377" s="3"/>
      <c r="M377" s="1"/>
      <c r="N377" s="1"/>
    </row>
    <row r="378" spans="1:14" ht="26.25" thickBot="1" x14ac:dyDescent="0.25">
      <c r="A378" s="67" t="s">
        <v>23</v>
      </c>
      <c r="B378" s="103" t="s">
        <v>2316</v>
      </c>
      <c r="C378" s="102" t="s">
        <v>446</v>
      </c>
      <c r="D378" s="102" t="s">
        <v>1623</v>
      </c>
      <c r="E378" s="526" t="s">
        <v>2119</v>
      </c>
      <c r="F378" s="527" t="s">
        <v>2120</v>
      </c>
      <c r="G378" s="1"/>
      <c r="H378" s="1"/>
      <c r="I378" s="1"/>
      <c r="J378" s="1"/>
      <c r="K378" s="1"/>
      <c r="L378" s="3"/>
      <c r="M378" s="3"/>
      <c r="N378" s="1"/>
    </row>
    <row r="379" spans="1:14" ht="13.5" thickTop="1" x14ac:dyDescent="0.2">
      <c r="A379" s="1"/>
      <c r="B379" s="200" t="s">
        <v>2644</v>
      </c>
      <c r="C379" s="425" t="s">
        <v>995</v>
      </c>
      <c r="D379" s="425" t="s">
        <v>995</v>
      </c>
      <c r="E379" s="425" t="s">
        <v>995</v>
      </c>
      <c r="F379" s="425" t="s">
        <v>995</v>
      </c>
      <c r="G379" s="1"/>
      <c r="H379" s="1"/>
      <c r="I379" s="1"/>
      <c r="J379" s="5" t="str">
        <f>IF(C379="x","FOUT","")</f>
        <v/>
      </c>
      <c r="K379" s="5">
        <f>ABS(IF(J379="JUIST","1","0"))</f>
        <v>0</v>
      </c>
      <c r="L379" s="3" t="s">
        <v>995</v>
      </c>
      <c r="M379" s="3"/>
      <c r="N379" s="1"/>
    </row>
    <row r="380" spans="1:14" x14ac:dyDescent="0.2">
      <c r="A380" s="1"/>
      <c r="B380" s="61" t="s">
        <v>2317</v>
      </c>
      <c r="C380" s="3" t="s">
        <v>475</v>
      </c>
      <c r="D380" s="3" t="s">
        <v>476</v>
      </c>
      <c r="E380" s="3" t="s">
        <v>477</v>
      </c>
      <c r="F380" s="3" t="s">
        <v>478</v>
      </c>
      <c r="G380" s="1"/>
      <c r="H380" s="1"/>
      <c r="I380" s="1"/>
      <c r="J380" s="5" t="str">
        <f>IF(D379="x","JUIST","")</f>
        <v/>
      </c>
      <c r="K380" s="5">
        <f>ABS(IF(J380="JUIST","1","0"))</f>
        <v>0</v>
      </c>
      <c r="L380" s="3">
        <v>1</v>
      </c>
      <c r="M380" s="3"/>
      <c r="N380" s="1"/>
    </row>
    <row r="381" spans="1:14" x14ac:dyDescent="0.2">
      <c r="A381" s="1"/>
      <c r="B381" s="67" t="s">
        <v>2318</v>
      </c>
      <c r="C381" s="3"/>
      <c r="D381" s="3"/>
      <c r="E381" s="3"/>
      <c r="F381" s="3"/>
      <c r="G381" s="1"/>
      <c r="H381" s="1"/>
      <c r="I381" s="1"/>
      <c r="J381" s="5" t="str">
        <f>IF(E379="x","FOUT","")</f>
        <v/>
      </c>
      <c r="K381" s="5">
        <f>ABS(IF(J381="JUIST","1","0"))</f>
        <v>0</v>
      </c>
      <c r="L381" s="3" t="s">
        <v>995</v>
      </c>
      <c r="M381" s="3"/>
      <c r="N381" s="1"/>
    </row>
    <row r="382" spans="1:14" x14ac:dyDescent="0.2">
      <c r="A382" s="1"/>
      <c r="B382" s="1" t="s">
        <v>995</v>
      </c>
      <c r="C382" s="1"/>
      <c r="D382" s="1"/>
      <c r="E382" s="1"/>
      <c r="F382" s="1"/>
      <c r="G382" s="1"/>
      <c r="H382" s="1"/>
      <c r="I382" s="1"/>
      <c r="J382" s="5" t="str">
        <f>IF(F379="x","FOUT","")</f>
        <v/>
      </c>
      <c r="K382" s="5">
        <f>ABS(IF(J382="JUIST","1","0"))</f>
        <v>0</v>
      </c>
      <c r="L382" s="3">
        <v>0</v>
      </c>
      <c r="M382" s="3"/>
      <c r="N382" s="1"/>
    </row>
    <row r="383" spans="1:14" x14ac:dyDescent="0.2">
      <c r="A383" s="1"/>
      <c r="B383" s="80" t="s">
        <v>333</v>
      </c>
      <c r="C383" s="1"/>
      <c r="D383" s="1"/>
      <c r="E383" s="1"/>
      <c r="F383" s="1"/>
      <c r="G383" s="1"/>
      <c r="H383" s="1"/>
      <c r="I383" s="1"/>
      <c r="J383" s="1"/>
      <c r="L383" s="3" t="s">
        <v>995</v>
      </c>
      <c r="M383" s="3"/>
      <c r="N383" s="1"/>
    </row>
    <row r="384" spans="1:14" x14ac:dyDescent="0.2">
      <c r="A384" s="1"/>
      <c r="B384" s="81" t="s">
        <v>895</v>
      </c>
      <c r="C384" s="1"/>
      <c r="D384" s="1"/>
      <c r="E384" s="1"/>
      <c r="F384" s="1"/>
      <c r="G384" s="1"/>
      <c r="H384" s="1"/>
      <c r="I384" s="1"/>
      <c r="J384" s="79" t="s">
        <v>995</v>
      </c>
      <c r="K384" s="1"/>
      <c r="L384" s="3"/>
      <c r="M384" s="5" t="s">
        <v>25</v>
      </c>
      <c r="N384" s="1"/>
    </row>
    <row r="385" spans="1:14" x14ac:dyDescent="0.2">
      <c r="A385" s="1"/>
      <c r="C385" s="1"/>
      <c r="D385" s="1"/>
      <c r="E385" s="1"/>
      <c r="G385" s="1"/>
      <c r="H385" s="1"/>
      <c r="I385" s="1"/>
      <c r="K385" s="1"/>
      <c r="L385" s="3"/>
      <c r="M385" s="5">
        <v>0</v>
      </c>
      <c r="N385" s="1"/>
    </row>
    <row r="386" spans="1:14" x14ac:dyDescent="0.2">
      <c r="A386" s="1"/>
      <c r="B386" s="82" t="s">
        <v>1033</v>
      </c>
      <c r="C386" s="318" t="s">
        <v>995</v>
      </c>
      <c r="D386" s="1"/>
      <c r="E386" s="1"/>
      <c r="F386" s="79"/>
      <c r="G386" s="1"/>
      <c r="H386" s="1"/>
      <c r="I386" s="1"/>
      <c r="J386" s="1"/>
      <c r="K386" s="1"/>
      <c r="L386" s="3"/>
      <c r="M386" s="5">
        <v>0</v>
      </c>
      <c r="N386" s="1"/>
    </row>
    <row r="387" spans="1:14" x14ac:dyDescent="0.2">
      <c r="A387" s="1"/>
      <c r="B387" s="52" t="str">
        <f>J387</f>
        <v/>
      </c>
      <c r="C387" s="1"/>
      <c r="D387" s="1"/>
      <c r="E387" s="1"/>
      <c r="F387" s="252"/>
      <c r="G387" s="1"/>
      <c r="H387" s="1"/>
      <c r="I387" s="1"/>
      <c r="J387" s="73" t="str">
        <f>IF(C386="x","Het juiste antwoord is: B .","")</f>
        <v/>
      </c>
      <c r="K387" s="1"/>
      <c r="L387" s="3"/>
      <c r="M387" s="3"/>
      <c r="N387" s="1"/>
    </row>
    <row r="388" spans="1:14" x14ac:dyDescent="0.2">
      <c r="A388" s="14"/>
      <c r="B388" s="14"/>
      <c r="C388" s="14"/>
      <c r="D388" s="180"/>
      <c r="E388" s="14"/>
      <c r="F388" s="14"/>
      <c r="G388" s="14"/>
      <c r="H388" s="14"/>
      <c r="I388" s="14"/>
      <c r="J388" s="1"/>
      <c r="K388" s="1"/>
      <c r="L388" s="3"/>
      <c r="M388" s="1"/>
      <c r="N388" s="1"/>
    </row>
    <row r="389" spans="1:14" x14ac:dyDescent="0.2">
      <c r="A389" s="1"/>
      <c r="B389" s="1"/>
      <c r="C389" s="1"/>
      <c r="D389" s="1"/>
      <c r="E389" s="1"/>
      <c r="F389" s="1"/>
      <c r="G389" s="1"/>
      <c r="H389" s="1"/>
      <c r="I389" s="1"/>
      <c r="J389" s="1"/>
      <c r="K389" s="1"/>
      <c r="L389" s="3"/>
      <c r="M389" s="1"/>
      <c r="N389" s="1"/>
    </row>
    <row r="390" spans="1:14" x14ac:dyDescent="0.2">
      <c r="A390" s="67" t="s">
        <v>26</v>
      </c>
      <c r="B390" s="81" t="s">
        <v>895</v>
      </c>
      <c r="C390" s="1"/>
      <c r="D390" s="1"/>
      <c r="E390" s="1"/>
      <c r="F390" s="1"/>
      <c r="G390" s="1"/>
      <c r="H390" s="1"/>
      <c r="I390" s="1"/>
      <c r="J390" s="1"/>
      <c r="K390" s="1"/>
      <c r="L390" s="3"/>
      <c r="M390" s="1"/>
      <c r="N390" s="1"/>
    </row>
    <row r="391" spans="1:14" ht="13.5" thickBot="1" x14ac:dyDescent="0.25">
      <c r="A391" s="1"/>
      <c r="B391" s="1"/>
      <c r="C391" s="1"/>
      <c r="D391" s="292" t="s">
        <v>306</v>
      </c>
      <c r="E391" s="293" t="s">
        <v>304</v>
      </c>
      <c r="F391" s="1"/>
      <c r="G391" s="1"/>
      <c r="H391" s="1"/>
      <c r="I391" s="1"/>
      <c r="J391" s="1"/>
      <c r="K391" s="1"/>
      <c r="L391" s="3"/>
      <c r="M391" s="1"/>
      <c r="N391" s="1"/>
    </row>
    <row r="392" spans="1:14" ht="14.25" thickTop="1" thickBot="1" x14ac:dyDescent="0.25">
      <c r="A392" s="16" t="s">
        <v>475</v>
      </c>
      <c r="B392" s="584" t="s">
        <v>1837</v>
      </c>
      <c r="C392" s="291"/>
      <c r="D392" s="572" t="s">
        <v>995</v>
      </c>
      <c r="E392" s="572" t="s">
        <v>995</v>
      </c>
      <c r="F392" s="1"/>
      <c r="G392" s="1"/>
      <c r="H392" s="1"/>
      <c r="I392" s="1"/>
      <c r="J392" s="6" t="str">
        <f>IF(E392="x","JUIST","FOUT")</f>
        <v>FOUT</v>
      </c>
      <c r="K392" s="6">
        <f>IF(J392="JUIST",1,0)</f>
        <v>0</v>
      </c>
      <c r="L392" s="3">
        <v>1</v>
      </c>
      <c r="M392" s="1"/>
      <c r="N392" s="1"/>
    </row>
    <row r="393" spans="1:14" ht="13.5" thickTop="1" x14ac:dyDescent="0.2">
      <c r="A393" s="16" t="s">
        <v>476</v>
      </c>
      <c r="B393" s="584" t="s">
        <v>1700</v>
      </c>
      <c r="C393" s="291"/>
      <c r="D393" s="312"/>
      <c r="E393" s="314" t="s">
        <v>995</v>
      </c>
      <c r="F393" s="1"/>
      <c r="G393" s="1"/>
      <c r="H393" s="1"/>
      <c r="I393" s="1"/>
      <c r="J393" s="1"/>
      <c r="K393" s="1"/>
      <c r="L393" s="3"/>
      <c r="M393" s="1"/>
      <c r="N393" s="1"/>
    </row>
    <row r="394" spans="1:14" ht="13.5" thickBot="1" x14ac:dyDescent="0.25">
      <c r="A394" s="16"/>
      <c r="B394" s="585" t="s">
        <v>1699</v>
      </c>
      <c r="C394" s="18"/>
      <c r="D394" s="583" t="s">
        <v>995</v>
      </c>
      <c r="E394" s="583" t="s">
        <v>995</v>
      </c>
      <c r="F394" s="1"/>
      <c r="G394" s="1"/>
      <c r="H394" s="1"/>
      <c r="I394" s="1"/>
      <c r="J394" s="6" t="str">
        <f>IF(E394="x","JUIST","FOUT")</f>
        <v>FOUT</v>
      </c>
      <c r="K394" s="6">
        <f>IF(J394="JUIST",1,0)</f>
        <v>0</v>
      </c>
      <c r="L394" s="3">
        <v>1</v>
      </c>
      <c r="M394" s="1"/>
      <c r="N394" s="1"/>
    </row>
    <row r="395" spans="1:14" ht="14.25" thickTop="1" thickBot="1" x14ac:dyDescent="0.25">
      <c r="A395" s="16" t="s">
        <v>477</v>
      </c>
      <c r="B395" s="584" t="s">
        <v>1822</v>
      </c>
      <c r="C395" s="291"/>
      <c r="D395" s="572" t="s">
        <v>995</v>
      </c>
      <c r="E395" s="572" t="s">
        <v>995</v>
      </c>
      <c r="F395" s="1"/>
      <c r="G395" s="1"/>
      <c r="H395" s="1"/>
      <c r="I395" s="1"/>
      <c r="J395" s="6" t="str">
        <f>IF(D395="x","JUIST","FOUT")</f>
        <v>FOUT</v>
      </c>
      <c r="K395" s="6">
        <f>IF(J395="JUIST",1,0)</f>
        <v>0</v>
      </c>
      <c r="L395" s="3">
        <v>1</v>
      </c>
      <c r="M395" s="1"/>
      <c r="N395" s="1"/>
    </row>
    <row r="396" spans="1:14" ht="13.5" thickTop="1" x14ac:dyDescent="0.2">
      <c r="A396" s="16" t="s">
        <v>478</v>
      </c>
      <c r="B396" s="584" t="s">
        <v>1823</v>
      </c>
      <c r="C396" s="291"/>
      <c r="D396" s="312"/>
      <c r="E396" s="314"/>
      <c r="F396" s="1"/>
      <c r="G396" s="1"/>
      <c r="H396" s="1"/>
      <c r="I396" s="1"/>
      <c r="J396" s="1"/>
      <c r="K396" s="1"/>
      <c r="L396" s="3"/>
      <c r="M396" s="1"/>
      <c r="N396" s="1"/>
    </row>
    <row r="397" spans="1:14" ht="13.5" thickBot="1" x14ac:dyDescent="0.25">
      <c r="A397" s="16"/>
      <c r="B397" s="585" t="s">
        <v>1821</v>
      </c>
      <c r="C397" s="18"/>
      <c r="D397" s="583" t="s">
        <v>995</v>
      </c>
      <c r="E397" s="583" t="s">
        <v>995</v>
      </c>
      <c r="F397" s="1"/>
      <c r="G397" s="1"/>
      <c r="H397" s="1"/>
      <c r="I397" s="1"/>
      <c r="J397" s="6" t="str">
        <f>IF(E397="x","JUIST","FOUT")</f>
        <v>FOUT</v>
      </c>
      <c r="K397" s="6">
        <f>IF(J397="JUIST",1,0)</f>
        <v>0</v>
      </c>
      <c r="L397" s="3">
        <v>1</v>
      </c>
      <c r="M397" s="1"/>
      <c r="N397" s="1"/>
    </row>
    <row r="398" spans="1:14" ht="14.25" thickTop="1" thickBot="1" x14ac:dyDescent="0.25">
      <c r="A398" s="16" t="s">
        <v>479</v>
      </c>
      <c r="B398" s="584" t="s">
        <v>1820</v>
      </c>
      <c r="C398" s="291"/>
      <c r="D398" s="572" t="s">
        <v>995</v>
      </c>
      <c r="E398" s="572" t="s">
        <v>995</v>
      </c>
      <c r="F398" s="1" t="s">
        <v>995</v>
      </c>
      <c r="G398" s="1"/>
      <c r="H398" s="1"/>
      <c r="I398" s="1"/>
      <c r="J398" s="6" t="str">
        <f>IF(E398="x","JUIST","FOUT")</f>
        <v>FOUT</v>
      </c>
      <c r="K398" s="6">
        <f>IF(J398="JUIST",1,0)</f>
        <v>0</v>
      </c>
      <c r="L398" s="3">
        <v>1</v>
      </c>
      <c r="M398" s="1"/>
      <c r="N398" s="1"/>
    </row>
    <row r="399" spans="1:14" ht="13.5" thickTop="1" x14ac:dyDescent="0.2">
      <c r="A399" s="16" t="s">
        <v>480</v>
      </c>
      <c r="B399" s="584" t="s">
        <v>1824</v>
      </c>
      <c r="C399" s="291"/>
      <c r="D399" s="312"/>
      <c r="E399" s="314"/>
      <c r="F399" s="1"/>
      <c r="G399" s="1"/>
      <c r="H399" s="1"/>
      <c r="I399" s="1"/>
      <c r="J399" s="1"/>
      <c r="K399" s="1"/>
      <c r="L399" s="3"/>
      <c r="M399" s="1"/>
      <c r="N399" s="1"/>
    </row>
    <row r="400" spans="1:14" ht="13.5" thickBot="1" x14ac:dyDescent="0.25">
      <c r="A400" s="16"/>
      <c r="B400" s="585" t="s">
        <v>1701</v>
      </c>
      <c r="C400" s="18"/>
      <c r="D400" s="583" t="s">
        <v>995</v>
      </c>
      <c r="E400" s="583" t="s">
        <v>995</v>
      </c>
      <c r="F400" s="1"/>
      <c r="G400" s="1"/>
      <c r="H400" s="1"/>
      <c r="I400" s="1"/>
      <c r="J400" s="6" t="str">
        <f>IF(D400="x","JUIST","FOUT")</f>
        <v>FOUT</v>
      </c>
      <c r="K400" s="6">
        <f>IF(J400="JUIST",1,0)</f>
        <v>0</v>
      </c>
      <c r="L400" s="3">
        <v>1</v>
      </c>
      <c r="M400" s="1"/>
      <c r="N400" s="1"/>
    </row>
    <row r="401" spans="1:14" ht="13.5" thickTop="1" x14ac:dyDescent="0.2">
      <c r="A401" s="16" t="s">
        <v>481</v>
      </c>
      <c r="B401" s="584" t="s">
        <v>2319</v>
      </c>
      <c r="C401" s="291"/>
      <c r="D401" s="312"/>
      <c r="E401" s="314"/>
      <c r="F401" s="1"/>
      <c r="G401" s="1"/>
      <c r="H401" s="1"/>
      <c r="I401" s="1"/>
      <c r="J401" s="1"/>
      <c r="K401" s="1"/>
      <c r="L401" s="3"/>
      <c r="M401" s="1"/>
      <c r="N401" s="1"/>
    </row>
    <row r="402" spans="1:14" ht="13.5" thickBot="1" x14ac:dyDescent="0.25">
      <c r="A402" s="16"/>
      <c r="B402" s="585" t="s">
        <v>1702</v>
      </c>
      <c r="C402" s="18"/>
      <c r="D402" s="583" t="s">
        <v>995</v>
      </c>
      <c r="E402" s="583" t="s">
        <v>995</v>
      </c>
      <c r="F402" s="1"/>
      <c r="G402" s="1"/>
      <c r="H402" s="1"/>
      <c r="I402" s="1"/>
      <c r="J402" s="6" t="str">
        <f>IF(E402="x","JUIST","FOUT")</f>
        <v>FOUT</v>
      </c>
      <c r="K402" s="6">
        <f>IF(J402="JUIST",1,0)</f>
        <v>0</v>
      </c>
      <c r="L402" s="3">
        <v>1</v>
      </c>
      <c r="M402" s="1"/>
      <c r="N402" s="1"/>
    </row>
    <row r="403" spans="1:14" ht="13.5" thickTop="1" x14ac:dyDescent="0.2">
      <c r="A403" s="16" t="s">
        <v>482</v>
      </c>
      <c r="B403" s="584" t="s">
        <v>64</v>
      </c>
      <c r="C403" s="291"/>
      <c r="D403" s="312"/>
      <c r="E403" s="314"/>
      <c r="F403" s="1"/>
      <c r="G403" s="1"/>
      <c r="H403" s="1"/>
      <c r="I403" s="1"/>
      <c r="J403" s="1"/>
      <c r="K403" s="1"/>
      <c r="L403" s="3"/>
      <c r="M403" s="1"/>
      <c r="N403" s="1"/>
    </row>
    <row r="404" spans="1:14" ht="13.5" thickBot="1" x14ac:dyDescent="0.25">
      <c r="A404" s="16"/>
      <c r="B404" s="585" t="s">
        <v>1703</v>
      </c>
      <c r="C404" s="18"/>
      <c r="D404" s="583" t="s">
        <v>995</v>
      </c>
      <c r="E404" s="583" t="s">
        <v>995</v>
      </c>
      <c r="F404" s="1"/>
      <c r="G404" s="1"/>
      <c r="H404" s="1"/>
      <c r="I404" s="1"/>
      <c r="J404" s="6" t="str">
        <f>IF(D404="x","JUIST","FOUT")</f>
        <v>FOUT</v>
      </c>
      <c r="K404" s="6">
        <f>IF(J404="JUIST",1,0)</f>
        <v>0</v>
      </c>
      <c r="L404" s="3">
        <v>1</v>
      </c>
      <c r="M404" s="1"/>
      <c r="N404" s="1"/>
    </row>
    <row r="405" spans="1:14" ht="13.5" thickTop="1" x14ac:dyDescent="0.2">
      <c r="A405" s="16" t="s">
        <v>483</v>
      </c>
      <c r="B405" s="584" t="s">
        <v>2748</v>
      </c>
      <c r="C405" s="291"/>
      <c r="D405" s="312"/>
      <c r="E405" s="314"/>
      <c r="F405" s="1"/>
      <c r="G405" s="1"/>
      <c r="H405" s="1"/>
      <c r="I405" s="1"/>
      <c r="J405" s="1"/>
      <c r="K405" s="1"/>
      <c r="L405" s="3"/>
      <c r="M405" s="1"/>
      <c r="N405" s="1"/>
    </row>
    <row r="406" spans="1:14" ht="13.5" thickBot="1" x14ac:dyDescent="0.25">
      <c r="A406" s="16"/>
      <c r="B406" s="585" t="s">
        <v>65</v>
      </c>
      <c r="C406" s="18"/>
      <c r="D406" s="583" t="s">
        <v>995</v>
      </c>
      <c r="E406" s="583" t="s">
        <v>995</v>
      </c>
      <c r="F406" s="1"/>
      <c r="G406" s="1"/>
      <c r="H406" s="1"/>
      <c r="I406" s="1"/>
      <c r="J406" s="6" t="str">
        <f>IF(E406="x","JUIST","FOUT")</f>
        <v>FOUT</v>
      </c>
      <c r="K406" s="6">
        <f>IF(J406="JUIST",1,0)</f>
        <v>0</v>
      </c>
      <c r="L406" s="3">
        <v>1</v>
      </c>
      <c r="M406" s="1"/>
      <c r="N406" s="1"/>
    </row>
    <row r="407" spans="1:14" ht="13.5" thickTop="1" x14ac:dyDescent="0.2">
      <c r="A407" s="16" t="s">
        <v>662</v>
      </c>
      <c r="B407" s="584" t="s">
        <v>66</v>
      </c>
      <c r="C407" s="291"/>
      <c r="D407" s="312"/>
      <c r="E407" s="314"/>
      <c r="F407" s="1"/>
      <c r="G407" s="1"/>
      <c r="H407" s="1"/>
      <c r="I407" s="1"/>
      <c r="J407" s="1"/>
      <c r="K407" s="1"/>
      <c r="L407" s="3"/>
      <c r="M407" s="1"/>
      <c r="N407" s="1"/>
    </row>
    <row r="408" spans="1:14" ht="13.5" thickBot="1" x14ac:dyDescent="0.25">
      <c r="A408" s="16"/>
      <c r="B408" s="585" t="s">
        <v>2320</v>
      </c>
      <c r="C408" s="18"/>
      <c r="D408" s="583" t="s">
        <v>995</v>
      </c>
      <c r="E408" s="583" t="s">
        <v>995</v>
      </c>
      <c r="F408" s="1"/>
      <c r="G408" s="1"/>
      <c r="H408" s="1"/>
      <c r="I408" s="1"/>
      <c r="J408" s="6" t="str">
        <f>IF(D408="x","JUIST","FOUT")</f>
        <v>FOUT</v>
      </c>
      <c r="K408" s="6">
        <f>IF(J408="JUIST",1,0)</f>
        <v>0</v>
      </c>
      <c r="L408" s="3">
        <v>1</v>
      </c>
      <c r="M408" s="1"/>
      <c r="N408" s="1"/>
    </row>
    <row r="409" spans="1:14" ht="13.5" thickTop="1" x14ac:dyDescent="0.2">
      <c r="A409" s="16" t="s">
        <v>1240</v>
      </c>
      <c r="B409" s="584" t="s">
        <v>1704</v>
      </c>
      <c r="C409" s="291"/>
      <c r="D409" s="312"/>
      <c r="E409" s="314"/>
      <c r="F409" s="1"/>
      <c r="G409" s="1"/>
      <c r="H409" s="1"/>
      <c r="I409" s="1"/>
      <c r="J409" s="1"/>
      <c r="K409" s="1"/>
      <c r="L409" s="3"/>
      <c r="M409" s="1"/>
      <c r="N409" s="1"/>
    </row>
    <row r="410" spans="1:14" ht="13.5" thickBot="1" x14ac:dyDescent="0.25">
      <c r="A410" s="16"/>
      <c r="B410" s="586" t="s">
        <v>2321</v>
      </c>
      <c r="C410" s="85"/>
      <c r="D410" s="583" t="s">
        <v>995</v>
      </c>
      <c r="E410" s="583" t="s">
        <v>995</v>
      </c>
      <c r="F410" s="1"/>
      <c r="G410" s="1"/>
      <c r="H410" s="1"/>
      <c r="I410" s="1"/>
      <c r="J410" s="6" t="str">
        <f>IF(D410="x","JUIST","FOUT")</f>
        <v>FOUT</v>
      </c>
      <c r="K410" s="6">
        <f>IF(J410="JUIST",1,0)</f>
        <v>0</v>
      </c>
      <c r="L410" s="3">
        <v>1</v>
      </c>
      <c r="M410" s="1"/>
      <c r="N410" s="1"/>
    </row>
    <row r="411" spans="1:14" ht="13.5" thickTop="1" x14ac:dyDescent="0.2">
      <c r="A411" s="1"/>
      <c r="B411" s="1"/>
      <c r="C411" s="1"/>
      <c r="D411" s="1"/>
      <c r="E411" s="1"/>
      <c r="F411" s="1"/>
      <c r="G411" s="1"/>
      <c r="H411" s="1"/>
      <c r="I411" s="1"/>
      <c r="J411" s="1"/>
      <c r="K411" s="1"/>
      <c r="L411" s="3"/>
      <c r="M411" s="1"/>
      <c r="N411" s="1"/>
    </row>
    <row r="412" spans="1:14" x14ac:dyDescent="0.2">
      <c r="A412" s="14"/>
      <c r="B412" s="14"/>
      <c r="C412" s="14"/>
      <c r="D412" s="180"/>
      <c r="E412" s="14"/>
      <c r="F412" s="14"/>
      <c r="G412" s="14"/>
      <c r="H412" s="14"/>
      <c r="I412" s="14"/>
      <c r="J412" s="1"/>
      <c r="K412" s="1"/>
      <c r="L412" s="3"/>
      <c r="M412" s="1"/>
      <c r="N412" s="1"/>
    </row>
    <row r="413" spans="1:14" x14ac:dyDescent="0.2">
      <c r="A413" s="1"/>
      <c r="B413" s="1"/>
      <c r="C413" s="1"/>
      <c r="D413" s="1"/>
      <c r="E413" s="1"/>
      <c r="F413" s="1"/>
      <c r="G413" s="1"/>
      <c r="H413" s="1"/>
      <c r="I413" s="1"/>
      <c r="J413" s="1"/>
      <c r="K413" s="1"/>
      <c r="L413" s="3"/>
      <c r="M413" s="1"/>
      <c r="N413" s="1"/>
    </row>
    <row r="414" spans="1:14" x14ac:dyDescent="0.2">
      <c r="A414" s="67" t="s">
        <v>45</v>
      </c>
      <c r="B414" s="1" t="s">
        <v>1825</v>
      </c>
      <c r="C414" s="1"/>
      <c r="D414" s="1"/>
      <c r="E414" s="1"/>
      <c r="F414" s="1"/>
      <c r="G414" s="1"/>
      <c r="H414" s="1"/>
      <c r="I414" s="1"/>
      <c r="J414" s="5" t="e">
        <f>SEARCH("profiel",D425)</f>
        <v>#VALUE!</v>
      </c>
      <c r="K414" s="1"/>
      <c r="L414" s="3"/>
      <c r="M414" s="1"/>
      <c r="N414" s="1"/>
    </row>
    <row r="415" spans="1:14" x14ac:dyDescent="0.2">
      <c r="A415" s="1"/>
      <c r="B415" s="1" t="s">
        <v>2322</v>
      </c>
      <c r="C415" s="1"/>
      <c r="D415" s="3" t="s">
        <v>1707</v>
      </c>
      <c r="E415" s="1"/>
      <c r="F415" s="1"/>
      <c r="G415" s="1"/>
      <c r="H415" s="1"/>
      <c r="I415" s="1"/>
      <c r="J415" s="5">
        <f>ABS(ISERR(J414))</f>
        <v>1</v>
      </c>
      <c r="K415" s="5">
        <f>ABS(IF(J415=0,"1","0"))</f>
        <v>0</v>
      </c>
      <c r="L415" s="3">
        <v>1</v>
      </c>
      <c r="M415" s="1"/>
      <c r="N415" s="1"/>
    </row>
    <row r="416" spans="1:14" x14ac:dyDescent="0.2">
      <c r="A416" s="1"/>
      <c r="B416" s="559" t="s">
        <v>2323</v>
      </c>
      <c r="C416" s="1"/>
      <c r="D416" s="3"/>
      <c r="E416" s="1"/>
      <c r="F416" s="1"/>
      <c r="G416" s="1"/>
      <c r="H416" s="1"/>
      <c r="I416" s="1"/>
      <c r="J416" s="1"/>
      <c r="K416" s="1"/>
      <c r="L416" s="3"/>
      <c r="M416" s="1"/>
      <c r="N416" s="1"/>
    </row>
    <row r="417" spans="1:14" ht="13.5" thickBot="1" x14ac:dyDescent="0.25">
      <c r="A417" s="1"/>
      <c r="B417" s="1"/>
      <c r="C417" s="1"/>
      <c r="D417" s="3" t="s">
        <v>63</v>
      </c>
      <c r="E417" s="1"/>
      <c r="F417" s="1"/>
      <c r="G417" s="1"/>
      <c r="H417" s="1"/>
      <c r="I417" s="1"/>
      <c r="J417" s="5" t="e">
        <f>SEARCH("functievormingsproces",G421)</f>
        <v>#VALUE!</v>
      </c>
      <c r="K417" s="1"/>
      <c r="L417" s="3"/>
      <c r="M417" s="1"/>
      <c r="N417" s="1"/>
    </row>
    <row r="418" spans="1:14" ht="13.5" thickTop="1" x14ac:dyDescent="0.2">
      <c r="A418" s="1"/>
      <c r="B418" s="1" t="s">
        <v>1826</v>
      </c>
      <c r="C418" s="1"/>
      <c r="D418" s="3"/>
      <c r="E418" s="425"/>
      <c r="F418" s="1"/>
      <c r="G418" s="1"/>
      <c r="H418" s="1"/>
      <c r="I418" s="1"/>
      <c r="J418" s="5">
        <f>ABS(ISERR(J417))</f>
        <v>1</v>
      </c>
      <c r="K418" s="5">
        <f>ABS(IF(J418=0,"1","0"))</f>
        <v>0</v>
      </c>
      <c r="L418" s="3">
        <v>1</v>
      </c>
      <c r="M418" s="1"/>
      <c r="N418" s="1"/>
    </row>
    <row r="419" spans="1:14" x14ac:dyDescent="0.2">
      <c r="A419" s="1"/>
      <c r="B419" s="1" t="s">
        <v>1827</v>
      </c>
      <c r="C419" s="1"/>
      <c r="D419" s="3" t="s">
        <v>2324</v>
      </c>
      <c r="E419" s="1"/>
      <c r="F419" s="1"/>
      <c r="G419" s="1"/>
      <c r="H419" s="1"/>
      <c r="I419" s="1"/>
      <c r="J419" s="1"/>
      <c r="K419" s="1"/>
      <c r="L419" s="3"/>
      <c r="M419" s="1"/>
      <c r="N419" s="1"/>
    </row>
    <row r="420" spans="1:14" x14ac:dyDescent="0.2">
      <c r="A420" s="1"/>
      <c r="B420" s="67" t="s">
        <v>2699</v>
      </c>
      <c r="C420" s="1"/>
      <c r="D420" s="3"/>
      <c r="E420" s="1"/>
      <c r="F420" s="1" t="s">
        <v>1830</v>
      </c>
      <c r="G420" s="1"/>
      <c r="I420" s="1"/>
      <c r="J420" s="1"/>
      <c r="K420" s="1"/>
      <c r="L420" s="3"/>
      <c r="M420" s="1"/>
      <c r="N420" s="1"/>
    </row>
    <row r="421" spans="1:14" x14ac:dyDescent="0.2">
      <c r="A421" s="1"/>
      <c r="B421" s="1"/>
      <c r="C421" s="1"/>
      <c r="D421" s="3" t="s">
        <v>131</v>
      </c>
      <c r="E421" s="1"/>
      <c r="F421" s="1" t="s">
        <v>1829</v>
      </c>
      <c r="G421" s="186" t="s">
        <v>995</v>
      </c>
      <c r="H421" s="319"/>
      <c r="I421" s="1"/>
      <c r="J421" s="1"/>
      <c r="K421" s="1"/>
      <c r="L421" s="3"/>
      <c r="M421" s="1" t="s">
        <v>1831</v>
      </c>
      <c r="N421" s="1"/>
    </row>
    <row r="422" spans="1:14" x14ac:dyDescent="0.2">
      <c r="A422" s="1"/>
      <c r="B422" s="1"/>
      <c r="C422" s="1"/>
      <c r="D422" s="3"/>
      <c r="E422" s="1"/>
      <c r="F422" s="1"/>
      <c r="G422" s="320">
        <f>IF(B425="x",M421,M422)</f>
        <v>0</v>
      </c>
      <c r="H422" s="1"/>
      <c r="I422" s="1"/>
      <c r="J422" s="1"/>
      <c r="K422" s="1"/>
      <c r="L422" s="3"/>
      <c r="M422" s="1"/>
      <c r="N422" s="1"/>
    </row>
    <row r="423" spans="1:14" x14ac:dyDescent="0.2">
      <c r="A423" s="1"/>
      <c r="B423" s="1"/>
      <c r="C423" s="1"/>
      <c r="D423" s="3" t="s">
        <v>2325</v>
      </c>
      <c r="E423" s="1"/>
      <c r="F423" s="1"/>
      <c r="G423" s="1"/>
      <c r="H423" s="1"/>
      <c r="I423" s="1"/>
      <c r="J423" s="1"/>
      <c r="K423" s="1"/>
      <c r="L423" s="3"/>
      <c r="M423" s="1"/>
      <c r="N423" s="1"/>
    </row>
    <row r="424" spans="1:14" x14ac:dyDescent="0.2">
      <c r="A424" s="1"/>
      <c r="B424" s="54" t="s">
        <v>1832</v>
      </c>
      <c r="C424" s="1"/>
      <c r="D424" s="1"/>
      <c r="E424" s="1"/>
      <c r="F424" s="1"/>
      <c r="G424" s="1"/>
      <c r="H424" s="1"/>
      <c r="I424" s="1"/>
      <c r="J424" s="1"/>
      <c r="K424" s="1"/>
      <c r="L424" s="3"/>
      <c r="M424" s="1"/>
      <c r="N424" s="1"/>
    </row>
    <row r="425" spans="1:14" x14ac:dyDescent="0.2">
      <c r="A425" s="1"/>
      <c r="B425" s="318" t="s">
        <v>995</v>
      </c>
      <c r="C425" s="1"/>
      <c r="D425" s="318" t="s">
        <v>995</v>
      </c>
      <c r="E425" s="1"/>
      <c r="F425" s="1"/>
      <c r="G425" s="1"/>
      <c r="H425" s="1"/>
      <c r="I425" s="1"/>
      <c r="J425" s="1"/>
      <c r="K425" s="1"/>
      <c r="L425" s="3"/>
      <c r="M425" s="1" t="s">
        <v>380</v>
      </c>
      <c r="N425" s="1"/>
    </row>
    <row r="426" spans="1:14" x14ac:dyDescent="0.2">
      <c r="A426" s="1"/>
      <c r="B426" s="1" t="s">
        <v>995</v>
      </c>
      <c r="C426" s="1"/>
      <c r="D426" s="3">
        <f>IF(B425="x",M425,M422)</f>
        <v>0</v>
      </c>
      <c r="E426" s="1"/>
      <c r="F426" s="1"/>
      <c r="G426" s="1"/>
      <c r="H426" s="1"/>
      <c r="I426" s="1"/>
      <c r="J426" s="1"/>
      <c r="K426" s="1"/>
      <c r="L426" s="3"/>
      <c r="M426" s="1"/>
      <c r="N426" s="1"/>
    </row>
    <row r="427" spans="1:14" x14ac:dyDescent="0.2">
      <c r="A427" s="14"/>
      <c r="B427" s="14"/>
      <c r="C427" s="14"/>
      <c r="D427" s="180"/>
      <c r="E427" s="14"/>
      <c r="F427" s="14"/>
      <c r="G427" s="14"/>
      <c r="H427" s="14"/>
      <c r="I427" s="14"/>
      <c r="J427" s="1" t="s">
        <v>995</v>
      </c>
      <c r="K427" s="1"/>
      <c r="L427" s="3"/>
      <c r="M427" s="1"/>
      <c r="N427" s="1"/>
    </row>
    <row r="428" spans="1:14" x14ac:dyDescent="0.2">
      <c r="A428" s="1"/>
      <c r="B428" s="1"/>
      <c r="C428" s="1"/>
      <c r="D428" s="1"/>
      <c r="E428" s="1"/>
      <c r="F428" s="1"/>
      <c r="G428" s="1"/>
      <c r="H428" s="1"/>
      <c r="I428" s="1"/>
      <c r="J428" s="1"/>
      <c r="K428" s="1"/>
      <c r="L428" s="3"/>
      <c r="M428" s="1"/>
      <c r="N428" s="1"/>
    </row>
    <row r="429" spans="1:14" x14ac:dyDescent="0.2">
      <c r="A429" s="67" t="s">
        <v>50</v>
      </c>
      <c r="B429" s="67" t="s">
        <v>1838</v>
      </c>
      <c r="C429" s="1"/>
      <c r="D429" s="1"/>
      <c r="E429" s="1"/>
      <c r="F429" s="1"/>
      <c r="G429" s="1"/>
      <c r="H429" s="1"/>
      <c r="I429" s="1"/>
      <c r="J429" s="1"/>
      <c r="K429" s="1"/>
      <c r="L429" s="3"/>
      <c r="M429" s="1"/>
      <c r="N429" s="1"/>
    </row>
    <row r="430" spans="1:14" x14ac:dyDescent="0.2">
      <c r="A430" s="1"/>
      <c r="B430" s="1"/>
      <c r="C430" s="1"/>
      <c r="D430" s="1"/>
      <c r="E430" s="1"/>
      <c r="F430" s="1"/>
      <c r="G430" s="1"/>
      <c r="H430" s="1"/>
      <c r="I430" s="1"/>
      <c r="J430" s="1"/>
      <c r="K430" s="1"/>
      <c r="L430" s="3"/>
      <c r="M430" s="1"/>
      <c r="N430" s="1"/>
    </row>
    <row r="431" spans="1:14" x14ac:dyDescent="0.2">
      <c r="A431" s="6" t="s">
        <v>999</v>
      </c>
      <c r="B431" s="6" t="s">
        <v>1839</v>
      </c>
      <c r="C431" s="24" t="s">
        <v>995</v>
      </c>
      <c r="D431" s="37" t="str">
        <f>J431</f>
        <v/>
      </c>
      <c r="E431" s="1"/>
      <c r="G431" s="1"/>
      <c r="H431" s="1"/>
      <c r="I431" s="1"/>
      <c r="J431" s="5" t="str">
        <f>IF(C431="x","JUIST","")</f>
        <v/>
      </c>
      <c r="K431" s="5">
        <f>ABS(IF(J431="JUIST","1","0"))</f>
        <v>0</v>
      </c>
      <c r="L431" s="3">
        <v>1</v>
      </c>
      <c r="M431" s="1"/>
      <c r="N431" s="1"/>
    </row>
    <row r="432" spans="1:14" x14ac:dyDescent="0.2">
      <c r="A432" s="6" t="s">
        <v>1000</v>
      </c>
      <c r="B432" s="6" t="s">
        <v>1840</v>
      </c>
      <c r="C432" s="24" t="s">
        <v>995</v>
      </c>
      <c r="D432" s="37" t="str">
        <f>J432</f>
        <v/>
      </c>
      <c r="E432" s="1"/>
      <c r="F432" s="1"/>
      <c r="G432" s="1"/>
      <c r="H432" s="1"/>
      <c r="I432" s="1"/>
      <c r="J432" s="5" t="str">
        <f>IF(C432="x","FOUT","")</f>
        <v/>
      </c>
      <c r="K432" s="5">
        <f>ABS(IF(J432="JUIST","1","0"))</f>
        <v>0</v>
      </c>
      <c r="L432" s="3" t="s">
        <v>995</v>
      </c>
      <c r="M432" s="1"/>
      <c r="N432" s="1"/>
    </row>
    <row r="433" spans="1:14" x14ac:dyDescent="0.2">
      <c r="A433" s="6" t="s">
        <v>1001</v>
      </c>
      <c r="B433" s="18" t="s">
        <v>1841</v>
      </c>
      <c r="C433" s="24" t="s">
        <v>995</v>
      </c>
      <c r="D433" s="37" t="str">
        <f>J433</f>
        <v/>
      </c>
      <c r="E433" s="1"/>
      <c r="F433" s="1"/>
      <c r="H433" s="1"/>
      <c r="I433" s="1"/>
      <c r="J433" s="5" t="str">
        <f>IF(C433="x","FOUT","")</f>
        <v/>
      </c>
      <c r="K433" s="5">
        <f>ABS(IF(J433="JUIST","1","0"))</f>
        <v>0</v>
      </c>
      <c r="L433" s="3" t="s">
        <v>995</v>
      </c>
      <c r="M433" s="1" t="s">
        <v>995</v>
      </c>
      <c r="N433" s="1"/>
    </row>
    <row r="434" spans="1:14" x14ac:dyDescent="0.2">
      <c r="A434" s="6" t="s">
        <v>1002</v>
      </c>
      <c r="B434" s="6" t="s">
        <v>1842</v>
      </c>
      <c r="C434" s="24" t="s">
        <v>995</v>
      </c>
      <c r="D434" s="37" t="str">
        <f>J434</f>
        <v/>
      </c>
      <c r="E434" s="1"/>
      <c r="F434" s="1"/>
      <c r="G434" s="1"/>
      <c r="H434" s="1"/>
      <c r="I434" s="1"/>
      <c r="J434" s="5" t="str">
        <f>IF(C434="x","FOUT","")</f>
        <v/>
      </c>
      <c r="K434" s="5">
        <f>ABS(IF(J434="JUIST","1","0"))</f>
        <v>0</v>
      </c>
      <c r="L434" s="3"/>
      <c r="M434" s="1"/>
      <c r="N434" s="1"/>
    </row>
    <row r="435" spans="1:14" x14ac:dyDescent="0.2">
      <c r="A435" s="1"/>
      <c r="B435" s="1"/>
      <c r="C435" s="1"/>
      <c r="D435" s="1"/>
      <c r="E435" s="1"/>
      <c r="F435" s="1"/>
      <c r="G435" s="1"/>
      <c r="H435" s="1"/>
      <c r="I435" s="1"/>
      <c r="J435" s="1"/>
      <c r="K435" s="1"/>
      <c r="L435" s="3"/>
      <c r="M435" s="1"/>
      <c r="N435" s="1"/>
    </row>
    <row r="436" spans="1:14" x14ac:dyDescent="0.2">
      <c r="A436" s="1"/>
      <c r="B436" s="82" t="s">
        <v>1033</v>
      </c>
      <c r="C436" s="318" t="s">
        <v>995</v>
      </c>
      <c r="D436" s="1"/>
      <c r="E436" s="1"/>
      <c r="F436" s="171"/>
      <c r="G436" s="1"/>
      <c r="H436" s="1"/>
      <c r="I436" s="1"/>
      <c r="J436" s="1"/>
      <c r="K436" s="1"/>
      <c r="L436" s="3"/>
      <c r="M436" s="1"/>
      <c r="N436" s="1"/>
    </row>
    <row r="437" spans="1:14" x14ac:dyDescent="0.2">
      <c r="A437" s="1"/>
      <c r="B437" s="52" t="str">
        <f>J437</f>
        <v/>
      </c>
      <c r="C437" s="1"/>
      <c r="D437" s="1"/>
      <c r="E437" s="1"/>
      <c r="F437" s="1"/>
      <c r="G437" s="1"/>
      <c r="H437" s="1"/>
      <c r="I437" s="1"/>
      <c r="J437" s="73" t="str">
        <f>IF(C436="x","Het juiste antwoord is: A.","")</f>
        <v/>
      </c>
      <c r="K437" s="1"/>
      <c r="L437" s="3"/>
      <c r="M437" s="1"/>
      <c r="N437" s="1"/>
    </row>
    <row r="438" spans="1:14" x14ac:dyDescent="0.2">
      <c r="A438" s="14"/>
      <c r="B438" s="14"/>
      <c r="C438" s="14"/>
      <c r="D438" s="180"/>
      <c r="E438" s="14"/>
      <c r="F438" s="14"/>
      <c r="G438" s="14"/>
      <c r="H438" s="14"/>
      <c r="I438" s="14"/>
      <c r="J438" s="1"/>
      <c r="K438" s="1"/>
      <c r="L438" s="3"/>
      <c r="M438" s="1"/>
      <c r="N438" s="1"/>
    </row>
    <row r="439" spans="1:14" x14ac:dyDescent="0.2">
      <c r="A439" s="1"/>
      <c r="B439" s="1"/>
      <c r="C439" s="1"/>
      <c r="D439" s="1"/>
      <c r="E439" s="1"/>
      <c r="F439" s="1"/>
      <c r="G439" s="1"/>
      <c r="H439" s="1"/>
      <c r="I439" s="1"/>
      <c r="J439" s="1"/>
      <c r="K439" s="1"/>
      <c r="L439" s="3"/>
      <c r="M439" s="1"/>
      <c r="N439" s="1"/>
    </row>
    <row r="440" spans="1:14" x14ac:dyDescent="0.2">
      <c r="A440" s="67" t="s">
        <v>55</v>
      </c>
      <c r="B440" s="67" t="s">
        <v>2326</v>
      </c>
      <c r="C440" s="1"/>
      <c r="D440" s="1"/>
      <c r="E440" s="1"/>
      <c r="F440" s="1"/>
      <c r="G440" s="1"/>
      <c r="H440" s="1"/>
      <c r="I440" s="1"/>
      <c r="J440" s="1"/>
      <c r="K440" s="1"/>
      <c r="L440" s="3"/>
      <c r="M440" s="1"/>
      <c r="N440" s="1"/>
    </row>
    <row r="441" spans="1:14" ht="13.5" thickBot="1" x14ac:dyDescent="0.25">
      <c r="A441" s="1"/>
      <c r="B441" s="1"/>
      <c r="C441" s="1"/>
      <c r="D441" s="1"/>
      <c r="E441" s="1"/>
      <c r="F441" s="1"/>
      <c r="G441" s="1"/>
      <c r="H441" s="1"/>
      <c r="I441" s="1"/>
      <c r="J441" s="1"/>
      <c r="K441" s="1"/>
      <c r="L441" s="3"/>
      <c r="M441" s="1"/>
      <c r="N441" s="1"/>
    </row>
    <row r="442" spans="1:14" ht="14.25" thickTop="1" thickBot="1" x14ac:dyDescent="0.25">
      <c r="A442" s="16" t="s">
        <v>999</v>
      </c>
      <c r="B442" s="324" t="s">
        <v>1843</v>
      </c>
      <c r="C442" s="325" t="s">
        <v>995</v>
      </c>
      <c r="D442" s="37" t="str">
        <f>J442</f>
        <v/>
      </c>
      <c r="E442" s="1"/>
      <c r="G442" s="1"/>
      <c r="H442" s="1"/>
      <c r="I442" s="1"/>
      <c r="J442" s="5" t="str">
        <f>IF(C442="x","FOUT","")</f>
        <v/>
      </c>
      <c r="K442" s="5">
        <f>ABS(IF(J442="JUIST","1","0"))</f>
        <v>0</v>
      </c>
      <c r="L442" s="3">
        <v>1</v>
      </c>
      <c r="M442" s="1"/>
      <c r="N442" s="1"/>
    </row>
    <row r="443" spans="1:14" ht="13.5" thickTop="1" x14ac:dyDescent="0.2">
      <c r="A443" s="16" t="s">
        <v>1000</v>
      </c>
      <c r="B443" s="587" t="s">
        <v>2327</v>
      </c>
      <c r="C443" s="323" t="s">
        <v>995</v>
      </c>
      <c r="E443" s="171" t="s">
        <v>1848</v>
      </c>
      <c r="F443" s="1"/>
      <c r="G443" s="1"/>
      <c r="H443" s="1"/>
      <c r="I443" s="1"/>
      <c r="K443" s="3">
        <f>ABS(IF(J444="JUIST","1","0"))</f>
        <v>0</v>
      </c>
      <c r="L443" s="3" t="s">
        <v>995</v>
      </c>
      <c r="M443" s="1"/>
      <c r="N443" s="1"/>
    </row>
    <row r="444" spans="1:14" ht="13.5" thickBot="1" x14ac:dyDescent="0.25">
      <c r="A444" s="16"/>
      <c r="B444" s="588" t="s">
        <v>1845</v>
      </c>
      <c r="C444" s="196" t="s">
        <v>995</v>
      </c>
      <c r="D444" s="37" t="str">
        <f>J444</f>
        <v/>
      </c>
      <c r="E444" s="1"/>
      <c r="F444" s="1"/>
      <c r="G444" s="1"/>
      <c r="H444" s="1"/>
      <c r="I444" s="1"/>
      <c r="J444" s="5" t="str">
        <f>IF(C444="x","FOUT","")</f>
        <v/>
      </c>
      <c r="K444" s="5"/>
      <c r="L444" s="3"/>
      <c r="M444" s="1"/>
      <c r="N444" s="1"/>
    </row>
    <row r="445" spans="1:14" ht="14.25" thickTop="1" thickBot="1" x14ac:dyDescent="0.25">
      <c r="A445" s="16" t="s">
        <v>1001</v>
      </c>
      <c r="B445" s="55" t="s">
        <v>1846</v>
      </c>
      <c r="C445" s="322" t="s">
        <v>995</v>
      </c>
      <c r="D445" s="37" t="str">
        <f>J445</f>
        <v/>
      </c>
      <c r="E445" s="560" t="s">
        <v>1847</v>
      </c>
      <c r="F445" s="1"/>
      <c r="H445" s="1"/>
      <c r="I445" s="1"/>
      <c r="J445" s="5" t="str">
        <f>IF(C445="x","FOUT","")</f>
        <v/>
      </c>
      <c r="K445" s="5">
        <f>ABS(IF(J445="JUIST","1","0"))</f>
        <v>0</v>
      </c>
      <c r="L445" s="3" t="s">
        <v>995</v>
      </c>
      <c r="M445" s="1"/>
      <c r="N445" s="1"/>
    </row>
    <row r="446" spans="1:14" ht="13.5" thickTop="1" x14ac:dyDescent="0.2">
      <c r="A446" s="16" t="s">
        <v>1002</v>
      </c>
      <c r="B446" s="584" t="s">
        <v>2328</v>
      </c>
      <c r="C446" s="321" t="s">
        <v>995</v>
      </c>
      <c r="D446" s="37" t="s">
        <v>995</v>
      </c>
      <c r="E446" s="1"/>
      <c r="F446" s="1"/>
      <c r="G446" s="1"/>
      <c r="H446" s="1"/>
      <c r="I446" s="1"/>
      <c r="J446" s="1"/>
      <c r="K446" s="1"/>
      <c r="L446" s="3"/>
      <c r="M446" s="1"/>
      <c r="N446" s="1"/>
    </row>
    <row r="447" spans="1:14" ht="13.5" thickBot="1" x14ac:dyDescent="0.25">
      <c r="A447" s="18"/>
      <c r="B447" s="588" t="s">
        <v>1844</v>
      </c>
      <c r="C447" s="196" t="s">
        <v>995</v>
      </c>
      <c r="D447" s="37" t="str">
        <f>J447</f>
        <v/>
      </c>
      <c r="E447" s="1"/>
      <c r="F447" s="1"/>
      <c r="G447" s="1"/>
      <c r="H447" s="1"/>
      <c r="I447" s="1"/>
      <c r="J447" s="5" t="str">
        <f>IF(C447="x","JUIST","")</f>
        <v/>
      </c>
      <c r="K447" s="5">
        <f>ABS(IF(J447="JUIST","1","0"))</f>
        <v>0</v>
      </c>
      <c r="L447" s="3"/>
      <c r="M447" s="1"/>
      <c r="N447" s="1"/>
    </row>
    <row r="448" spans="1:14" ht="13.5" thickTop="1" x14ac:dyDescent="0.2">
      <c r="A448" s="1"/>
      <c r="B448" s="1"/>
      <c r="C448" s="1"/>
      <c r="D448" s="1"/>
      <c r="E448" s="1"/>
      <c r="F448" s="1"/>
      <c r="G448" s="1"/>
      <c r="H448" s="1"/>
      <c r="I448" s="1"/>
      <c r="J448" s="1"/>
      <c r="K448" s="1"/>
      <c r="L448" s="3"/>
      <c r="M448" s="1"/>
      <c r="N448" s="1"/>
    </row>
    <row r="449" spans="1:14" x14ac:dyDescent="0.2">
      <c r="A449" s="1"/>
      <c r="B449" s="82" t="s">
        <v>1033</v>
      </c>
      <c r="C449" s="318" t="s">
        <v>995</v>
      </c>
      <c r="D449" s="1"/>
      <c r="E449" s="1"/>
      <c r="F449" s="171"/>
      <c r="G449" s="1"/>
      <c r="H449" s="1"/>
      <c r="I449" s="1"/>
      <c r="J449" s="1"/>
      <c r="K449" s="1"/>
      <c r="L449" s="3"/>
      <c r="M449" s="1"/>
      <c r="N449" s="1"/>
    </row>
    <row r="450" spans="1:14" x14ac:dyDescent="0.2">
      <c r="A450" s="1"/>
      <c r="B450" s="52" t="str">
        <f>J450</f>
        <v/>
      </c>
      <c r="C450" s="1"/>
      <c r="D450" s="1"/>
      <c r="E450" s="1"/>
      <c r="F450" s="1"/>
      <c r="G450" s="1"/>
      <c r="H450" s="1"/>
      <c r="I450" s="1"/>
      <c r="J450" s="73" t="str">
        <f>IF(C449="x","Het juiste antwoord is: D.","")</f>
        <v/>
      </c>
      <c r="K450" s="1"/>
      <c r="L450" s="3"/>
      <c r="M450" s="1"/>
      <c r="N450" s="1"/>
    </row>
    <row r="451" spans="1:14" x14ac:dyDescent="0.2">
      <c r="A451" s="14"/>
      <c r="B451" s="14"/>
      <c r="C451" s="14"/>
      <c r="D451" s="180"/>
      <c r="E451" s="14"/>
      <c r="F451" s="14"/>
      <c r="G451" s="14"/>
      <c r="H451" s="14"/>
      <c r="I451" s="14"/>
      <c r="J451" s="1"/>
      <c r="K451" s="1"/>
      <c r="L451" s="3"/>
      <c r="M451" s="1"/>
      <c r="N451" s="1"/>
    </row>
    <row r="452" spans="1:14" x14ac:dyDescent="0.2">
      <c r="A452" s="1"/>
      <c r="B452" s="1"/>
      <c r="C452" s="1"/>
      <c r="D452" s="1"/>
      <c r="E452" s="1"/>
      <c r="F452" s="1"/>
      <c r="G452" s="1"/>
      <c r="H452" s="1"/>
      <c r="I452" s="1"/>
      <c r="J452" s="1"/>
      <c r="K452" s="1"/>
      <c r="L452" s="3"/>
      <c r="M452" s="1"/>
      <c r="N452" s="1"/>
    </row>
    <row r="453" spans="1:14" ht="13.5" thickBot="1" x14ac:dyDescent="0.25">
      <c r="A453" s="67" t="s">
        <v>57</v>
      </c>
      <c r="B453" s="1" t="s">
        <v>1868</v>
      </c>
      <c r="C453" s="1"/>
      <c r="D453" s="326" t="s">
        <v>1849</v>
      </c>
      <c r="E453" s="329" t="s">
        <v>1850</v>
      </c>
      <c r="F453" s="12" t="s">
        <v>1851</v>
      </c>
      <c r="G453" s="12" t="s">
        <v>1852</v>
      </c>
      <c r="H453" s="1"/>
      <c r="I453" s="1"/>
      <c r="J453" s="5" t="e">
        <f>SEARCH("werksfeer",B459)</f>
        <v>#VALUE!</v>
      </c>
      <c r="K453" s="1"/>
      <c r="L453" s="3"/>
      <c r="M453" s="1"/>
      <c r="N453" s="1"/>
    </row>
    <row r="454" spans="1:14" ht="13.5" thickTop="1" x14ac:dyDescent="0.2">
      <c r="A454" s="1"/>
      <c r="B454" s="1" t="s">
        <v>2329</v>
      </c>
      <c r="C454" s="1"/>
      <c r="D454" s="328" t="s">
        <v>1853</v>
      </c>
      <c r="E454" s="333" t="str">
        <f>IF(B463="x",M454,"")</f>
        <v/>
      </c>
      <c r="F454" s="303" t="s">
        <v>1862</v>
      </c>
      <c r="G454" s="303" t="s">
        <v>1865</v>
      </c>
      <c r="H454" s="243" t="s">
        <v>1094</v>
      </c>
      <c r="I454" s="1"/>
      <c r="J454" s="5">
        <f>ABS(ISERR(J453))</f>
        <v>1</v>
      </c>
      <c r="K454" s="5">
        <f>ABS(IF(J454=0,"1","0"))</f>
        <v>0</v>
      </c>
      <c r="L454" s="3">
        <v>1</v>
      </c>
      <c r="M454" s="1" t="s">
        <v>1870</v>
      </c>
      <c r="N454" s="1"/>
    </row>
    <row r="455" spans="1:14" x14ac:dyDescent="0.2">
      <c r="A455" s="1"/>
      <c r="B455" s="1" t="s">
        <v>2330</v>
      </c>
      <c r="C455" s="1"/>
      <c r="D455" s="327" t="s">
        <v>995</v>
      </c>
      <c r="E455" s="334" t="str">
        <f>IF(B463="x",M455,"")</f>
        <v/>
      </c>
      <c r="F455" s="84"/>
      <c r="G455" s="87" t="s">
        <v>1866</v>
      </c>
      <c r="H455" s="243" t="s">
        <v>1876</v>
      </c>
      <c r="I455" s="1"/>
      <c r="J455" s="1" t="s">
        <v>995</v>
      </c>
      <c r="K455" s="1"/>
      <c r="L455" s="3"/>
      <c r="M455" s="1" t="s">
        <v>1871</v>
      </c>
      <c r="N455" s="1"/>
    </row>
    <row r="456" spans="1:14" x14ac:dyDescent="0.2">
      <c r="A456" s="1"/>
      <c r="B456" s="1" t="s">
        <v>2331</v>
      </c>
      <c r="C456" s="1"/>
      <c r="D456" s="326" t="s">
        <v>1854</v>
      </c>
      <c r="E456" s="329" t="s">
        <v>1858</v>
      </c>
      <c r="F456" s="12" t="s">
        <v>1862</v>
      </c>
      <c r="G456" s="335" t="str">
        <f>IF(B463="x",M454,"")</f>
        <v/>
      </c>
      <c r="H456" s="243" t="s">
        <v>1096</v>
      </c>
      <c r="I456" s="1"/>
      <c r="J456" s="1" t="s">
        <v>995</v>
      </c>
      <c r="K456" s="1" t="s">
        <v>995</v>
      </c>
      <c r="L456" s="3"/>
      <c r="M456" s="1"/>
      <c r="N456" s="1"/>
    </row>
    <row r="457" spans="1:14" x14ac:dyDescent="0.2">
      <c r="A457" s="1"/>
      <c r="B457" s="1" t="s">
        <v>1869</v>
      </c>
      <c r="C457" s="1"/>
      <c r="D457" s="327" t="s">
        <v>995</v>
      </c>
      <c r="E457" s="332" t="s">
        <v>1859</v>
      </c>
      <c r="F457" s="331"/>
      <c r="G457" s="336" t="str">
        <f>IF(B463="x",M455,"")</f>
        <v/>
      </c>
      <c r="H457" s="243" t="s">
        <v>483</v>
      </c>
      <c r="I457" s="1"/>
      <c r="J457" s="1"/>
      <c r="K457" s="1"/>
      <c r="L457" s="3" t="s">
        <v>995</v>
      </c>
      <c r="M457" s="1"/>
      <c r="N457" s="1"/>
    </row>
    <row r="458" spans="1:14" x14ac:dyDescent="0.2">
      <c r="A458" s="1"/>
      <c r="B458" s="1"/>
      <c r="C458" s="1"/>
      <c r="D458" s="326" t="s">
        <v>1855</v>
      </c>
      <c r="E458" s="337" t="str">
        <f>IF(B463="x",M454,"")</f>
        <v/>
      </c>
      <c r="F458" s="12" t="s">
        <v>1863</v>
      </c>
      <c r="G458" s="12" t="s">
        <v>2332</v>
      </c>
      <c r="H458" s="243" t="s">
        <v>479</v>
      </c>
      <c r="I458" s="1"/>
      <c r="J458" s="5" t="e">
        <f>SEARCH("werkklimaat",B459)</f>
        <v>#VALUE!</v>
      </c>
      <c r="K458" s="1"/>
      <c r="L458" s="3"/>
      <c r="M458" s="1"/>
      <c r="N458" s="1"/>
    </row>
    <row r="459" spans="1:14" x14ac:dyDescent="0.2">
      <c r="A459" s="1"/>
      <c r="B459" s="318" t="s">
        <v>995</v>
      </c>
      <c r="C459" s="1"/>
      <c r="D459" s="327"/>
      <c r="E459" s="334" t="str">
        <f>IF(B463="x",M455,"")</f>
        <v/>
      </c>
      <c r="F459" s="84" t="s">
        <v>1864</v>
      </c>
      <c r="G459" s="84" t="s">
        <v>1867</v>
      </c>
      <c r="H459" s="243" t="s">
        <v>1877</v>
      </c>
      <c r="I459" s="1"/>
      <c r="J459" s="5">
        <f>ABS(ISERR(J458))</f>
        <v>1</v>
      </c>
      <c r="K459" s="5">
        <f>ABS(IF(J459=0,"1","0"))</f>
        <v>0</v>
      </c>
      <c r="L459" s="3"/>
      <c r="M459" s="1"/>
      <c r="N459" s="1"/>
    </row>
    <row r="460" spans="1:14" x14ac:dyDescent="0.2">
      <c r="A460" s="1"/>
      <c r="B460" s="1"/>
      <c r="C460" s="1"/>
      <c r="D460" s="326" t="s">
        <v>1856</v>
      </c>
      <c r="E460" s="329" t="s">
        <v>1858</v>
      </c>
      <c r="F460" s="335" t="str">
        <f>IF(B463="x",M454,"")</f>
        <v/>
      </c>
      <c r="G460" s="12" t="s">
        <v>1860</v>
      </c>
      <c r="H460" s="243" t="s">
        <v>479</v>
      </c>
      <c r="I460" s="1"/>
      <c r="J460" s="1"/>
      <c r="K460" s="1"/>
      <c r="L460" s="3"/>
      <c r="M460" s="1"/>
      <c r="N460" s="1"/>
    </row>
    <row r="461" spans="1:14" x14ac:dyDescent="0.2">
      <c r="A461" s="1"/>
      <c r="B461" s="1"/>
      <c r="C461" s="1"/>
      <c r="D461" s="327"/>
      <c r="E461" s="330" t="s">
        <v>1859</v>
      </c>
      <c r="F461" s="336" t="str">
        <f>IF(B463="x",M455,"")</f>
        <v/>
      </c>
      <c r="G461" s="84" t="s">
        <v>1861</v>
      </c>
      <c r="H461" s="243" t="s">
        <v>1878</v>
      </c>
      <c r="I461" s="1"/>
      <c r="J461" s="5" t="e">
        <f>SEARCH("bedrijfscultuur",B459)</f>
        <v>#VALUE!</v>
      </c>
      <c r="K461" s="1"/>
      <c r="L461" s="3"/>
      <c r="M461" s="1"/>
      <c r="N461" s="1"/>
    </row>
    <row r="462" spans="1:14" x14ac:dyDescent="0.2">
      <c r="A462" s="1"/>
      <c r="B462" s="54" t="s">
        <v>1872</v>
      </c>
      <c r="C462" s="1"/>
      <c r="D462" s="326" t="s">
        <v>1857</v>
      </c>
      <c r="E462" s="329" t="s">
        <v>1860</v>
      </c>
      <c r="F462" s="12" t="s">
        <v>1862</v>
      </c>
      <c r="G462" s="335" t="str">
        <f>IF(B463="x",M454,"")</f>
        <v/>
      </c>
      <c r="H462" s="3" t="s">
        <v>1879</v>
      </c>
      <c r="I462" s="1"/>
      <c r="J462" s="5">
        <f>ABS(ISERR(J461))</f>
        <v>1</v>
      </c>
      <c r="K462" s="5">
        <f>ABS(IF(J462=0,"1","0"))</f>
        <v>0</v>
      </c>
      <c r="L462" s="3"/>
      <c r="M462" s="1"/>
      <c r="N462" s="1"/>
    </row>
    <row r="463" spans="1:14" x14ac:dyDescent="0.2">
      <c r="A463" s="1"/>
      <c r="B463" s="318" t="s">
        <v>995</v>
      </c>
      <c r="C463" s="1"/>
      <c r="D463" s="327"/>
      <c r="E463" s="330" t="s">
        <v>1861</v>
      </c>
      <c r="F463" s="84"/>
      <c r="G463" s="336" t="str">
        <f>IF(B463="x",M455,"")</f>
        <v/>
      </c>
      <c r="H463" s="1"/>
      <c r="I463" s="1"/>
      <c r="J463" s="1"/>
      <c r="K463" s="1"/>
      <c r="L463" s="3"/>
      <c r="M463" s="1"/>
      <c r="N463" s="1"/>
    </row>
    <row r="464" spans="1:14" x14ac:dyDescent="0.2">
      <c r="A464" s="1"/>
      <c r="B464" s="52" t="str">
        <f>IF(B463="x",J464,"")</f>
        <v/>
      </c>
      <c r="C464" s="1"/>
      <c r="D464" s="1"/>
      <c r="E464" s="1"/>
      <c r="F464" s="1"/>
      <c r="G464" s="1"/>
      <c r="H464" s="1"/>
      <c r="I464" s="1"/>
      <c r="J464" s="73" t="str">
        <f>IF(B463="x","Ook goed gerekend: plezierige werksfeer, werkklimaat, bedrijfscultuur.","")</f>
        <v/>
      </c>
      <c r="K464" s="1"/>
      <c r="M464" s="1"/>
      <c r="N464" s="1"/>
    </row>
    <row r="465" spans="1:14" x14ac:dyDescent="0.2">
      <c r="A465" s="14"/>
      <c r="B465" s="14"/>
      <c r="C465" s="14"/>
      <c r="D465" s="180"/>
      <c r="E465" s="14"/>
      <c r="F465" s="14"/>
      <c r="G465" s="14"/>
      <c r="H465" s="14"/>
      <c r="I465" s="14"/>
      <c r="J465" s="1"/>
      <c r="K465" s="1"/>
      <c r="L465" s="3"/>
      <c r="M465" s="1"/>
      <c r="N465" s="1"/>
    </row>
    <row r="466" spans="1:14" x14ac:dyDescent="0.2">
      <c r="A466" s="1"/>
      <c r="B466" s="1"/>
      <c r="C466" s="1"/>
      <c r="D466" s="1"/>
      <c r="E466" s="1"/>
      <c r="F466" s="1"/>
      <c r="G466" s="1"/>
      <c r="H466" s="1"/>
      <c r="I466" s="1"/>
      <c r="J466" s="1"/>
      <c r="K466" s="1"/>
      <c r="L466" s="3"/>
      <c r="M466" s="1"/>
      <c r="N466" s="1"/>
    </row>
    <row r="467" spans="1:14" ht="26.25" thickBot="1" x14ac:dyDescent="0.25">
      <c r="A467" s="67" t="s">
        <v>1873</v>
      </c>
      <c r="B467" s="103" t="s">
        <v>2333</v>
      </c>
      <c r="C467" s="102" t="s">
        <v>446</v>
      </c>
      <c r="D467" s="102" t="s">
        <v>1623</v>
      </c>
      <c r="E467" s="526" t="s">
        <v>2119</v>
      </c>
      <c r="F467" s="527" t="s">
        <v>2120</v>
      </c>
      <c r="G467" s="1"/>
      <c r="H467" s="1"/>
      <c r="I467" s="1"/>
      <c r="J467" s="1"/>
      <c r="K467" s="1"/>
      <c r="L467" s="3"/>
      <c r="M467" s="3"/>
      <c r="N467" s="1"/>
    </row>
    <row r="468" spans="1:14" ht="13.5" thickTop="1" x14ac:dyDescent="0.2">
      <c r="A468" s="1"/>
      <c r="B468" s="200" t="s">
        <v>2334</v>
      </c>
      <c r="C468" s="425" t="s">
        <v>995</v>
      </c>
      <c r="D468" s="425" t="s">
        <v>995</v>
      </c>
      <c r="E468" s="425" t="s">
        <v>995</v>
      </c>
      <c r="F468" s="425" t="s">
        <v>995</v>
      </c>
      <c r="G468" s="1"/>
      <c r="H468" s="1"/>
      <c r="I468" s="1"/>
      <c r="J468" s="5" t="str">
        <f>IF(C468="x","FOUT","")</f>
        <v/>
      </c>
      <c r="K468" s="5">
        <f>ABS(IF(J468="JUIST","1","0"))</f>
        <v>0</v>
      </c>
      <c r="L468" s="3" t="s">
        <v>995</v>
      </c>
      <c r="M468" s="3"/>
      <c r="N468" s="1"/>
    </row>
    <row r="469" spans="1:14" x14ac:dyDescent="0.2">
      <c r="A469" s="1"/>
      <c r="B469" s="61" t="s">
        <v>2335</v>
      </c>
      <c r="C469" s="3" t="s">
        <v>475</v>
      </c>
      <c r="D469" s="3" t="s">
        <v>476</v>
      </c>
      <c r="E469" s="3" t="s">
        <v>477</v>
      </c>
      <c r="F469" s="3" t="s">
        <v>478</v>
      </c>
      <c r="G469" s="1"/>
      <c r="H469" s="1"/>
      <c r="I469" s="1"/>
      <c r="J469" s="5" t="str">
        <f>IF(D468="x","FOUT","")</f>
        <v/>
      </c>
      <c r="K469" s="5">
        <f>ABS(IF(J469="JUIST","1","0"))</f>
        <v>0</v>
      </c>
      <c r="L469" s="3" t="s">
        <v>995</v>
      </c>
      <c r="M469" s="3"/>
      <c r="N469" s="1"/>
    </row>
    <row r="470" spans="1:14" x14ac:dyDescent="0.2">
      <c r="A470" s="1"/>
      <c r="B470" s="67" t="s">
        <v>2336</v>
      </c>
      <c r="C470" s="3"/>
      <c r="D470" s="3"/>
      <c r="E470" s="3"/>
      <c r="F470" s="3"/>
      <c r="G470" s="1"/>
      <c r="H470" s="1"/>
      <c r="I470" s="1"/>
      <c r="J470" s="5" t="str">
        <f>IF(E468="x","JUIST","")</f>
        <v/>
      </c>
      <c r="K470" s="5">
        <f>ABS(IF(J470="JUIST","1","0"))</f>
        <v>0</v>
      </c>
      <c r="L470" s="3">
        <v>1</v>
      </c>
      <c r="M470" s="3"/>
      <c r="N470" s="1"/>
    </row>
    <row r="471" spans="1:14" x14ac:dyDescent="0.2">
      <c r="A471" s="1"/>
      <c r="B471" s="1" t="s">
        <v>995</v>
      </c>
      <c r="C471" s="1"/>
      <c r="D471" s="1"/>
      <c r="E471" s="1"/>
      <c r="F471" s="1"/>
      <c r="G471" s="1"/>
      <c r="H471" s="1"/>
      <c r="I471" s="1"/>
      <c r="J471" s="5" t="str">
        <f>IF(F468="x","FOUT","")</f>
        <v/>
      </c>
      <c r="K471" s="5">
        <f>ABS(IF(J471="JUIST","1","0"))</f>
        <v>0</v>
      </c>
      <c r="L471" s="3">
        <v>0</v>
      </c>
      <c r="M471" s="3"/>
      <c r="N471" s="1"/>
    </row>
    <row r="472" spans="1:14" x14ac:dyDescent="0.2">
      <c r="A472" s="1"/>
      <c r="B472" s="80" t="s">
        <v>333</v>
      </c>
      <c r="C472" s="1"/>
      <c r="D472" s="1"/>
      <c r="E472" s="1"/>
      <c r="F472" s="1"/>
      <c r="G472" s="1"/>
      <c r="H472" s="1"/>
      <c r="I472" s="1"/>
      <c r="J472" s="1"/>
      <c r="L472" s="3" t="s">
        <v>995</v>
      </c>
      <c r="M472" s="3"/>
      <c r="N472" s="1"/>
    </row>
    <row r="473" spans="1:14" x14ac:dyDescent="0.2">
      <c r="A473" s="1"/>
      <c r="B473" s="81" t="s">
        <v>895</v>
      </c>
      <c r="C473" s="1"/>
      <c r="D473" s="1"/>
      <c r="E473" s="1"/>
      <c r="F473" s="1"/>
      <c r="G473" s="1"/>
      <c r="H473" s="1"/>
      <c r="I473" s="1"/>
      <c r="J473" s="79" t="s">
        <v>995</v>
      </c>
      <c r="K473" s="1"/>
      <c r="L473" s="3"/>
      <c r="M473" s="5" t="s">
        <v>25</v>
      </c>
      <c r="N473" s="1"/>
    </row>
    <row r="474" spans="1:14" x14ac:dyDescent="0.2">
      <c r="A474" s="1"/>
      <c r="C474" s="1"/>
      <c r="D474" s="1"/>
      <c r="E474" s="1"/>
      <c r="G474" s="1"/>
      <c r="H474" s="1"/>
      <c r="I474" s="1"/>
      <c r="K474" s="1"/>
      <c r="L474" s="3"/>
      <c r="M474" s="5">
        <v>0</v>
      </c>
      <c r="N474" s="1"/>
    </row>
    <row r="475" spans="1:14" x14ac:dyDescent="0.2">
      <c r="A475" s="1"/>
      <c r="B475" s="82" t="s">
        <v>1033</v>
      </c>
      <c r="C475" s="318" t="s">
        <v>995</v>
      </c>
      <c r="D475" s="1"/>
      <c r="E475" s="1"/>
      <c r="F475" s="79"/>
      <c r="G475" s="1"/>
      <c r="H475" s="1"/>
      <c r="I475" s="1"/>
      <c r="J475" s="73" t="str">
        <f>IF(C475="x","Het juiste antwoord is:  C.","")</f>
        <v/>
      </c>
      <c r="K475" s="1"/>
      <c r="L475" s="3"/>
      <c r="M475" s="5">
        <v>0</v>
      </c>
      <c r="N475" s="1"/>
    </row>
    <row r="476" spans="1:14" x14ac:dyDescent="0.2">
      <c r="A476" s="1"/>
      <c r="B476" s="52" t="str">
        <f>J475</f>
        <v/>
      </c>
      <c r="C476" s="1"/>
      <c r="D476" s="1"/>
      <c r="E476" s="1"/>
      <c r="F476" s="252"/>
      <c r="G476" s="1"/>
      <c r="H476" s="1"/>
      <c r="I476" s="1"/>
      <c r="K476" s="1"/>
      <c r="L476" s="3"/>
      <c r="M476" s="3"/>
      <c r="N476" s="1"/>
    </row>
    <row r="477" spans="1:14" x14ac:dyDescent="0.2">
      <c r="A477" s="14"/>
      <c r="B477" s="14"/>
      <c r="C477" s="14"/>
      <c r="D477" s="180"/>
      <c r="E477" s="14"/>
      <c r="F477" s="14"/>
      <c r="G477" s="14"/>
      <c r="H477" s="14"/>
      <c r="I477" s="14"/>
      <c r="J477" s="5" t="e">
        <f>SEARCH("voorspellen",B483)</f>
        <v>#VALUE!</v>
      </c>
      <c r="K477" s="1"/>
      <c r="L477" s="3"/>
      <c r="M477" s="1"/>
      <c r="N477" s="1"/>
    </row>
    <row r="478" spans="1:14" x14ac:dyDescent="0.2">
      <c r="A478" s="1"/>
      <c r="B478" s="1"/>
      <c r="C478" s="1"/>
      <c r="D478" s="1"/>
      <c r="E478" s="1"/>
      <c r="F478" s="1"/>
      <c r="G478" s="1"/>
      <c r="H478" s="1"/>
      <c r="I478" s="1"/>
      <c r="J478" s="5">
        <f>ABS(ISERR(J477))</f>
        <v>1</v>
      </c>
      <c r="K478" s="5">
        <f>ABS(IF(J478=0,"0,5","0"))</f>
        <v>0</v>
      </c>
      <c r="L478" s="3">
        <v>0.5</v>
      </c>
      <c r="M478" s="1"/>
      <c r="N478" s="1"/>
    </row>
    <row r="479" spans="1:14" x14ac:dyDescent="0.2">
      <c r="A479" s="67" t="s">
        <v>1881</v>
      </c>
      <c r="B479" s="1" t="s">
        <v>1874</v>
      </c>
      <c r="C479" s="1"/>
      <c r="D479" s="1"/>
      <c r="E479" s="1"/>
      <c r="F479" s="1"/>
      <c r="G479" s="1"/>
      <c r="H479" s="1"/>
      <c r="I479" s="1"/>
      <c r="J479" s="5" t="e">
        <f>SEARCH("gedrag",B483)</f>
        <v>#VALUE!</v>
      </c>
      <c r="K479" s="1"/>
      <c r="L479" s="3"/>
      <c r="M479" s="1"/>
      <c r="N479" s="1"/>
    </row>
    <row r="480" spans="1:14" x14ac:dyDescent="0.2">
      <c r="A480" s="1"/>
      <c r="B480" s="1" t="s">
        <v>2337</v>
      </c>
      <c r="C480" s="1"/>
      <c r="D480" s="1"/>
      <c r="E480" s="1"/>
      <c r="F480" s="1"/>
      <c r="G480" s="1"/>
      <c r="H480" s="1"/>
      <c r="I480" s="1"/>
      <c r="J480" s="5">
        <f>ABS(ISERR(J479))</f>
        <v>1</v>
      </c>
      <c r="K480" s="5">
        <f>ABS(IF(J480=0,"0,5","0"))</f>
        <v>0</v>
      </c>
      <c r="L480" s="3">
        <v>0.5</v>
      </c>
      <c r="M480" s="1"/>
      <c r="N480" s="1"/>
    </row>
    <row r="481" spans="1:14" x14ac:dyDescent="0.2">
      <c r="A481" s="1"/>
      <c r="B481" t="s">
        <v>2338</v>
      </c>
      <c r="C481" s="1"/>
      <c r="D481" s="1"/>
      <c r="E481" s="253" t="s">
        <v>1880</v>
      </c>
      <c r="F481" s="1"/>
      <c r="G481" s="1"/>
      <c r="H481" s="1"/>
      <c r="I481" s="1"/>
      <c r="J481" s="5" t="e">
        <f>SEARCH("beoordelen",B483)</f>
        <v>#VALUE!</v>
      </c>
      <c r="K481" s="1"/>
      <c r="L481" s="3"/>
      <c r="M481" s="1"/>
      <c r="N481" s="1"/>
    </row>
    <row r="482" spans="1:14" x14ac:dyDescent="0.2">
      <c r="A482" s="1"/>
      <c r="B482" s="1" t="s">
        <v>1875</v>
      </c>
      <c r="C482" s="1"/>
      <c r="D482" s="1"/>
      <c r="E482" s="1"/>
      <c r="F482" s="1"/>
      <c r="G482" s="1"/>
      <c r="H482" s="1"/>
      <c r="I482" s="1"/>
      <c r="J482" s="5">
        <f>ABS(ISERR(J481))</f>
        <v>1</v>
      </c>
      <c r="K482" s="5">
        <f>ABS(IF(J482=0,"0,5","0"))</f>
        <v>0</v>
      </c>
      <c r="L482" s="3">
        <v>0.5</v>
      </c>
      <c r="M482" s="1"/>
      <c r="N482" s="1"/>
    </row>
    <row r="483" spans="1:14" x14ac:dyDescent="0.2">
      <c r="A483" s="1"/>
      <c r="B483" s="7" t="s">
        <v>995</v>
      </c>
      <c r="C483" s="1"/>
      <c r="D483" s="1"/>
      <c r="E483" s="1"/>
      <c r="F483" s="1"/>
      <c r="G483" s="1"/>
      <c r="H483" s="1"/>
      <c r="I483" s="1"/>
      <c r="J483" s="5" t="e">
        <f>SEARCH("selecteren",B483)</f>
        <v>#VALUE!</v>
      </c>
      <c r="K483" s="1"/>
      <c r="L483" s="3"/>
      <c r="M483" s="1"/>
      <c r="N483" s="1"/>
    </row>
    <row r="484" spans="1:14" x14ac:dyDescent="0.2">
      <c r="A484" s="1"/>
      <c r="B484" s="1"/>
      <c r="C484" s="1"/>
      <c r="D484" s="1"/>
      <c r="E484" s="1"/>
      <c r="F484" s="1"/>
      <c r="G484" s="1"/>
      <c r="H484" s="1"/>
      <c r="I484" s="1"/>
      <c r="J484" s="5">
        <f>ABS(ISERR(J483))</f>
        <v>1</v>
      </c>
      <c r="K484" s="5">
        <f>ABS(IF(J484=0,"0,5","0"))</f>
        <v>0</v>
      </c>
      <c r="L484" s="3">
        <v>0.5</v>
      </c>
      <c r="M484" s="1"/>
      <c r="N484" s="1"/>
    </row>
    <row r="485" spans="1:14" x14ac:dyDescent="0.2">
      <c r="A485" s="1"/>
      <c r="B485" s="82" t="s">
        <v>1033</v>
      </c>
      <c r="C485" s="318" t="s">
        <v>995</v>
      </c>
      <c r="D485" s="1"/>
      <c r="E485" s="1"/>
      <c r="F485" s="1"/>
      <c r="G485" s="1"/>
      <c r="H485" s="1"/>
      <c r="I485" s="1"/>
      <c r="J485" s="1"/>
      <c r="K485" s="1"/>
      <c r="L485" s="1"/>
      <c r="M485" s="1"/>
      <c r="N485" s="1"/>
    </row>
    <row r="486" spans="1:14" x14ac:dyDescent="0.2">
      <c r="A486" s="1"/>
      <c r="B486" s="52" t="str">
        <f>IF(C485="x",J486,"")</f>
        <v/>
      </c>
      <c r="C486" s="1"/>
      <c r="D486" s="1"/>
      <c r="E486" s="1"/>
      <c r="F486" s="1"/>
      <c r="G486" s="1"/>
      <c r="H486" s="1"/>
      <c r="I486" s="1"/>
      <c r="J486" s="73" t="str">
        <f>IF(C485="x","Voorspellen van (toekomstig) gedrag, beoordelen en selecteren.","")</f>
        <v/>
      </c>
      <c r="K486" s="1"/>
      <c r="L486" s="1"/>
      <c r="M486" s="1"/>
      <c r="N486" s="1"/>
    </row>
    <row r="487" spans="1:14" x14ac:dyDescent="0.2">
      <c r="A487" s="14"/>
      <c r="B487" s="14"/>
      <c r="C487" s="14"/>
      <c r="D487" s="180"/>
      <c r="E487" s="14"/>
      <c r="F487" s="14"/>
      <c r="G487" s="14"/>
      <c r="H487" s="14"/>
      <c r="I487" s="14"/>
      <c r="J487" s="1"/>
      <c r="K487" s="1"/>
      <c r="L487" s="1"/>
      <c r="M487" s="1"/>
      <c r="N487" s="1"/>
    </row>
    <row r="488" spans="1:14" x14ac:dyDescent="0.2">
      <c r="A488" s="1"/>
      <c r="B488" s="1"/>
      <c r="C488" s="1"/>
      <c r="D488" s="1"/>
      <c r="E488" s="1"/>
      <c r="F488" s="1"/>
      <c r="G488" s="1"/>
      <c r="H488" s="1"/>
      <c r="I488" s="1"/>
      <c r="J488" s="1"/>
      <c r="K488" s="1"/>
      <c r="L488" s="3"/>
      <c r="M488" s="1"/>
      <c r="N488" s="1"/>
    </row>
    <row r="489" spans="1:14" ht="26.25" thickBot="1" x14ac:dyDescent="0.25">
      <c r="A489" s="67" t="s">
        <v>1882</v>
      </c>
      <c r="B489" s="103" t="s">
        <v>2339</v>
      </c>
      <c r="C489" s="102" t="s">
        <v>446</v>
      </c>
      <c r="D489" s="102" t="s">
        <v>1623</v>
      </c>
      <c r="E489" s="526" t="s">
        <v>2119</v>
      </c>
      <c r="F489" s="527" t="s">
        <v>2120</v>
      </c>
      <c r="G489" s="1"/>
      <c r="H489" s="1"/>
      <c r="I489" s="1"/>
      <c r="J489" s="1"/>
      <c r="K489" s="1"/>
      <c r="L489" s="3"/>
      <c r="M489" s="3"/>
      <c r="N489" s="1"/>
    </row>
    <row r="490" spans="1:14" ht="13.5" thickTop="1" x14ac:dyDescent="0.2">
      <c r="A490" s="1"/>
      <c r="B490" s="200" t="s">
        <v>2340</v>
      </c>
      <c r="C490" s="425" t="s">
        <v>25</v>
      </c>
      <c r="D490" s="425" t="s">
        <v>25</v>
      </c>
      <c r="E490" s="425" t="s">
        <v>25</v>
      </c>
      <c r="F490" s="425" t="s">
        <v>25</v>
      </c>
      <c r="G490" s="1"/>
      <c r="H490" s="1"/>
      <c r="I490" s="1"/>
      <c r="J490" s="5" t="str">
        <f>IF(C490="x","FOUT","")</f>
        <v>FOUT</v>
      </c>
      <c r="K490" s="5">
        <f>ABS(IF(J490="JUIST","0","0"))</f>
        <v>0</v>
      </c>
      <c r="L490" s="3" t="s">
        <v>995</v>
      </c>
      <c r="M490" s="3"/>
      <c r="N490" s="1"/>
    </row>
    <row r="491" spans="1:14" x14ac:dyDescent="0.2">
      <c r="A491" s="1"/>
      <c r="B491" s="428" t="s">
        <v>2341</v>
      </c>
      <c r="C491" s="3" t="s">
        <v>475</v>
      </c>
      <c r="D491" s="3" t="s">
        <v>476</v>
      </c>
      <c r="E491" s="3" t="s">
        <v>477</v>
      </c>
      <c r="F491" s="3" t="s">
        <v>478</v>
      </c>
      <c r="G491" s="1"/>
      <c r="H491" s="1"/>
      <c r="I491" s="1"/>
      <c r="J491" s="5" t="str">
        <f>IF(D490="x","FOUT","")</f>
        <v>FOUT</v>
      </c>
      <c r="K491" s="5">
        <f>ABS(IF(J491="JUIST","1","0"))</f>
        <v>0</v>
      </c>
      <c r="L491" s="3" t="s">
        <v>995</v>
      </c>
      <c r="M491" s="3"/>
      <c r="N491" s="1"/>
    </row>
    <row r="492" spans="1:14" x14ac:dyDescent="0.2">
      <c r="A492" s="1"/>
      <c r="B492" s="61" t="s">
        <v>2342</v>
      </c>
      <c r="C492" s="3"/>
      <c r="D492" s="3"/>
      <c r="E492" s="3"/>
      <c r="F492" s="3"/>
      <c r="G492" s="1"/>
      <c r="H492" s="1"/>
      <c r="I492" s="1"/>
      <c r="J492" s="5" t="str">
        <f>IF(E490="x","FOUT","")</f>
        <v>FOUT</v>
      </c>
      <c r="K492" s="5">
        <f>ABS(IF(J492="JUIST","1","0"))</f>
        <v>0</v>
      </c>
      <c r="L492" s="3" t="s">
        <v>995</v>
      </c>
      <c r="M492" s="3"/>
      <c r="N492" s="1"/>
    </row>
    <row r="493" spans="1:14" x14ac:dyDescent="0.2">
      <c r="A493" s="1"/>
      <c r="B493" s="67" t="s">
        <v>2343</v>
      </c>
      <c r="C493" s="1"/>
      <c r="D493" s="1"/>
      <c r="E493" s="1"/>
      <c r="F493" s="1"/>
      <c r="G493" s="1"/>
      <c r="H493" s="1"/>
      <c r="I493" s="1"/>
      <c r="J493" s="5" t="str">
        <f>IF(F490="x","JUIST","")</f>
        <v>JUIST</v>
      </c>
      <c r="K493" s="5">
        <f>ABS(IF(J493="JUIST","1","0"))</f>
        <v>1</v>
      </c>
      <c r="L493" s="3">
        <v>1</v>
      </c>
      <c r="M493" s="3"/>
      <c r="N493" s="1"/>
    </row>
    <row r="494" spans="1:14" x14ac:dyDescent="0.2">
      <c r="A494" s="1"/>
      <c r="C494" s="1"/>
      <c r="D494" s="1"/>
      <c r="E494" s="1"/>
      <c r="F494" s="1"/>
      <c r="G494" s="1"/>
      <c r="H494" s="1"/>
      <c r="I494" s="1"/>
      <c r="J494" s="1"/>
      <c r="L494" s="3" t="s">
        <v>995</v>
      </c>
      <c r="M494" s="3"/>
      <c r="N494" s="1"/>
    </row>
    <row r="495" spans="1:14" x14ac:dyDescent="0.2">
      <c r="A495" s="1"/>
      <c r="B495" s="80" t="s">
        <v>333</v>
      </c>
      <c r="C495" s="1"/>
      <c r="D495" s="1"/>
      <c r="E495" s="1"/>
      <c r="F495" s="1"/>
      <c r="G495" s="1"/>
      <c r="H495" s="1"/>
      <c r="I495" s="1"/>
      <c r="J495" s="79" t="s">
        <v>995</v>
      </c>
      <c r="K495" s="1"/>
      <c r="L495" s="3"/>
      <c r="M495" s="5" t="s">
        <v>25</v>
      </c>
      <c r="N495" s="1"/>
    </row>
    <row r="496" spans="1:14" x14ac:dyDescent="0.2">
      <c r="A496" s="1"/>
      <c r="B496" s="81" t="s">
        <v>895</v>
      </c>
      <c r="C496" s="1"/>
      <c r="D496" s="1"/>
      <c r="E496" s="1"/>
      <c r="G496" s="1"/>
      <c r="H496" s="1"/>
      <c r="I496" s="1"/>
      <c r="K496" s="1"/>
      <c r="L496" s="3"/>
      <c r="M496" s="5">
        <v>0</v>
      </c>
      <c r="N496" s="1"/>
    </row>
    <row r="497" spans="1:14" x14ac:dyDescent="0.2">
      <c r="A497" s="1"/>
      <c r="C497" s="1"/>
      <c r="D497" s="1"/>
      <c r="E497" s="1"/>
      <c r="F497" s="79"/>
      <c r="G497" s="1"/>
      <c r="H497" s="1"/>
      <c r="I497" s="1"/>
      <c r="J497" s="73" t="str">
        <f>IF(C498="x","Het juiste antwoord is:  D.","")</f>
        <v/>
      </c>
      <c r="K497" s="1"/>
      <c r="L497" s="3"/>
      <c r="M497" s="5">
        <v>0</v>
      </c>
      <c r="N497" s="1"/>
    </row>
    <row r="498" spans="1:14" x14ac:dyDescent="0.2">
      <c r="A498" s="1"/>
      <c r="B498" s="82" t="s">
        <v>1033</v>
      </c>
      <c r="C498" s="318" t="s">
        <v>995</v>
      </c>
      <c r="D498" s="1"/>
      <c r="E498" s="1"/>
      <c r="F498" s="252"/>
      <c r="G498" s="1"/>
      <c r="H498" s="1"/>
      <c r="I498" s="1"/>
      <c r="J498" s="73" t="str">
        <f>IF(C498="x","Ad 1: is geen antecedentenonderzoek maar assessment. Ad 2: is validiteit, niet betrouwbaarheid!","")</f>
        <v/>
      </c>
      <c r="K498" s="1"/>
      <c r="L498" s="3"/>
      <c r="M498" s="3"/>
      <c r="N498" s="1"/>
    </row>
    <row r="499" spans="1:14" x14ac:dyDescent="0.2">
      <c r="A499" s="1"/>
      <c r="B499" s="52" t="str">
        <f>IF(C498="x",J497,"")</f>
        <v/>
      </c>
      <c r="C499" s="1"/>
      <c r="D499" s="1"/>
      <c r="E499" s="1"/>
      <c r="F499" s="1"/>
      <c r="G499" s="1"/>
      <c r="H499" s="1"/>
      <c r="I499" s="1"/>
      <c r="J499" s="1"/>
      <c r="K499" s="1"/>
      <c r="L499" s="3"/>
      <c r="M499" s="1"/>
      <c r="N499" s="1"/>
    </row>
    <row r="500" spans="1:14" x14ac:dyDescent="0.2">
      <c r="A500" s="1"/>
      <c r="B500" s="81" t="str">
        <f>IF(C498="x",J498,"")</f>
        <v/>
      </c>
      <c r="C500" s="1"/>
      <c r="D500" s="1"/>
      <c r="E500" s="1"/>
      <c r="F500" s="1"/>
      <c r="G500" s="1"/>
      <c r="H500" s="1"/>
      <c r="I500" s="1"/>
      <c r="J500" s="1"/>
      <c r="K500" s="1"/>
      <c r="L500" s="3"/>
      <c r="M500" s="1"/>
      <c r="N500" s="1"/>
    </row>
    <row r="501" spans="1:14" x14ac:dyDescent="0.2">
      <c r="A501" s="14"/>
      <c r="B501" s="14"/>
      <c r="C501" s="14"/>
      <c r="D501" s="180"/>
      <c r="E501" s="14"/>
      <c r="F501" s="14"/>
      <c r="G501" s="14"/>
      <c r="H501" s="14"/>
      <c r="I501" s="14"/>
      <c r="J501" s="1"/>
      <c r="K501" s="1"/>
      <c r="L501" s="3"/>
      <c r="M501" s="1"/>
      <c r="N501" s="1"/>
    </row>
    <row r="502" spans="1:14" x14ac:dyDescent="0.2">
      <c r="A502" s="1"/>
      <c r="B502" s="1"/>
      <c r="C502" s="1"/>
      <c r="D502" s="1"/>
      <c r="E502" s="1"/>
      <c r="F502" s="1"/>
      <c r="G502" s="1"/>
      <c r="H502" s="1"/>
      <c r="I502" s="1"/>
      <c r="J502" s="1"/>
      <c r="K502" s="1"/>
      <c r="L502" s="3"/>
      <c r="M502" s="1"/>
      <c r="N502" s="1"/>
    </row>
    <row r="503" spans="1:14" x14ac:dyDescent="0.2">
      <c r="A503" s="67" t="s">
        <v>1884</v>
      </c>
      <c r="B503" s="67" t="s">
        <v>2700</v>
      </c>
      <c r="C503" s="1"/>
      <c r="D503" s="1"/>
      <c r="E503" s="1"/>
      <c r="F503" s="1"/>
      <c r="G503" s="1"/>
      <c r="H503" s="1"/>
      <c r="I503" s="1"/>
      <c r="J503" s="5" t="e">
        <f>SEARCH("arbeidsvoorwaarden",B506)</f>
        <v>#VALUE!</v>
      </c>
      <c r="K503" s="1"/>
      <c r="L503" s="3"/>
      <c r="M503" s="1"/>
      <c r="N503" s="1"/>
    </row>
    <row r="504" spans="1:14" x14ac:dyDescent="0.2">
      <c r="A504" s="1"/>
      <c r="B504" s="1" t="s">
        <v>1883</v>
      </c>
      <c r="C504" s="1"/>
      <c r="D504" s="1"/>
      <c r="F504" s="1"/>
      <c r="G504" s="1"/>
      <c r="H504" s="1"/>
      <c r="I504" s="1"/>
      <c r="J504" s="5">
        <f>ABS(ISERR(J503))</f>
        <v>1</v>
      </c>
      <c r="K504" s="5">
        <f>ABS(IF(J504=0,"1","0"))</f>
        <v>0</v>
      </c>
      <c r="L504" s="3">
        <v>1</v>
      </c>
      <c r="M504" s="1"/>
      <c r="N504" s="1"/>
    </row>
    <row r="505" spans="1:14" x14ac:dyDescent="0.2">
      <c r="A505" s="1"/>
      <c r="B505" t="s">
        <v>2344</v>
      </c>
      <c r="C505" s="1"/>
      <c r="D505" s="1"/>
      <c r="E505" s="1" t="s">
        <v>995</v>
      </c>
      <c r="F505" s="1"/>
      <c r="G505" s="1"/>
      <c r="H505" s="1"/>
      <c r="I505" s="1"/>
      <c r="J505" s="5" t="e">
        <f>SEARCH("arbeidsovereenkomst",B506)</f>
        <v>#VALUE!</v>
      </c>
      <c r="K505" s="1"/>
      <c r="L505" s="3"/>
      <c r="M505" s="1"/>
      <c r="N505" s="1"/>
    </row>
    <row r="506" spans="1:14" x14ac:dyDescent="0.2">
      <c r="A506" s="1"/>
      <c r="B506" s="7" t="s">
        <v>995</v>
      </c>
      <c r="C506" s="1"/>
      <c r="D506" s="1"/>
      <c r="E506" s="1"/>
      <c r="F506" s="1"/>
      <c r="G506" s="1"/>
      <c r="H506" s="1"/>
      <c r="I506" s="1"/>
      <c r="J506" s="5">
        <f>ABS(ISERR(J505))</f>
        <v>1</v>
      </c>
      <c r="K506" s="5">
        <f>ABS(IF(J506=0,"0,5","0"))</f>
        <v>0</v>
      </c>
      <c r="L506" s="3">
        <v>0.5</v>
      </c>
      <c r="M506" s="1" t="s">
        <v>804</v>
      </c>
      <c r="N506" s="1"/>
    </row>
    <row r="507" spans="1:14" x14ac:dyDescent="0.2">
      <c r="A507" s="1"/>
      <c r="B507" s="1"/>
      <c r="C507" s="1"/>
      <c r="D507" s="1"/>
      <c r="E507" s="1"/>
      <c r="F507" s="1"/>
      <c r="G507" s="1"/>
      <c r="H507" s="1"/>
      <c r="I507" s="1"/>
      <c r="J507" s="5" t="e">
        <f>SEARCH("salarisinschaling",B506)</f>
        <v>#VALUE!</v>
      </c>
      <c r="K507" s="1"/>
      <c r="L507" s="3"/>
      <c r="M507" s="1"/>
      <c r="N507" s="1"/>
    </row>
    <row r="508" spans="1:14" x14ac:dyDescent="0.2">
      <c r="A508" s="1"/>
      <c r="B508" s="82" t="s">
        <v>1033</v>
      </c>
      <c r="C508" s="318" t="s">
        <v>995</v>
      </c>
      <c r="D508" s="1"/>
      <c r="E508" s="1"/>
      <c r="F508" s="1"/>
      <c r="G508" s="1"/>
      <c r="H508" s="1"/>
      <c r="I508" s="1"/>
      <c r="J508" s="5">
        <f>ABS(ISERR(J507))</f>
        <v>1</v>
      </c>
      <c r="K508" s="5">
        <f>ABS(IF(J508=0,"0,5","0"))</f>
        <v>0</v>
      </c>
      <c r="L508" s="3">
        <v>0.5</v>
      </c>
      <c r="M508" s="1" t="s">
        <v>804</v>
      </c>
      <c r="N508" s="1"/>
    </row>
    <row r="509" spans="1:14" x14ac:dyDescent="0.2">
      <c r="A509" s="1"/>
      <c r="B509" s="52" t="str">
        <f>IF(C508="x",J510,"")</f>
        <v/>
      </c>
      <c r="D509" s="1"/>
      <c r="E509" s="1"/>
      <c r="F509" s="1"/>
      <c r="G509" s="1"/>
      <c r="H509" s="1"/>
      <c r="I509" s="1"/>
      <c r="J509" s="1"/>
      <c r="K509" s="1"/>
      <c r="L509" s="1"/>
      <c r="M509" s="1"/>
      <c r="N509" s="1"/>
    </row>
    <row r="510" spans="1:14" x14ac:dyDescent="0.2">
      <c r="A510" s="1"/>
      <c r="C510" s="1"/>
      <c r="D510" s="1"/>
      <c r="E510" s="1"/>
      <c r="F510" s="1"/>
      <c r="G510" s="1"/>
      <c r="H510" s="1"/>
      <c r="I510" s="1"/>
      <c r="J510" s="73" t="str">
        <f>IF(C508="x","ARBeidsVOorwaarden. Evt: salarisinschaling, arbeidsovereenkomst (half)","")</f>
        <v/>
      </c>
      <c r="K510" s="1"/>
      <c r="L510" s="1"/>
      <c r="M510" s="1"/>
      <c r="N510" s="1"/>
    </row>
    <row r="511" spans="1:14" x14ac:dyDescent="0.2">
      <c r="A511" s="14"/>
      <c r="B511" s="14"/>
      <c r="C511" s="14"/>
      <c r="D511" s="180"/>
      <c r="E511" s="14"/>
      <c r="F511" s="14"/>
      <c r="G511" s="14"/>
      <c r="H511" s="14"/>
      <c r="I511" s="14"/>
      <c r="J511" s="1"/>
      <c r="K511" s="1"/>
      <c r="L511" s="3"/>
      <c r="M511" s="1"/>
      <c r="N511" s="1"/>
    </row>
    <row r="512" spans="1:14" x14ac:dyDescent="0.2">
      <c r="A512" s="1"/>
      <c r="B512" s="1"/>
      <c r="C512" s="1"/>
      <c r="D512" s="1"/>
      <c r="E512" s="1"/>
      <c r="F512" s="1"/>
      <c r="G512" s="1"/>
      <c r="H512" s="1"/>
      <c r="I512" s="1"/>
      <c r="J512" s="5" t="e">
        <f>SEARCH("socialisatiefase",B515)</f>
        <v>#VALUE!</v>
      </c>
      <c r="K512" s="1"/>
      <c r="L512" s="3"/>
      <c r="M512" s="1"/>
      <c r="N512" s="1"/>
    </row>
    <row r="513" spans="1:14" x14ac:dyDescent="0.2">
      <c r="A513" s="67" t="s">
        <v>805</v>
      </c>
      <c r="B513" s="67" t="s">
        <v>1885</v>
      </c>
      <c r="C513" s="1"/>
      <c r="D513" s="1"/>
      <c r="E513" s="1"/>
      <c r="F513" s="1"/>
      <c r="G513" s="1"/>
      <c r="H513" s="1"/>
      <c r="I513" s="1"/>
      <c r="J513" s="5">
        <f>ABS(ISERR(J512))</f>
        <v>1</v>
      </c>
      <c r="K513" s="5">
        <f>ABS(IF(J513=0,"1","0"))</f>
        <v>0</v>
      </c>
      <c r="L513" s="3">
        <v>1</v>
      </c>
      <c r="M513" s="1"/>
      <c r="N513" s="1"/>
    </row>
    <row r="514" spans="1:14" x14ac:dyDescent="0.2">
      <c r="A514" s="1"/>
      <c r="B514" s="1" t="s">
        <v>995</v>
      </c>
      <c r="C514" s="1"/>
      <c r="D514" s="1"/>
      <c r="E514" s="1"/>
      <c r="F514" s="1"/>
      <c r="G514" s="1"/>
      <c r="H514" s="1"/>
      <c r="I514" s="1"/>
      <c r="J514" s="5" t="e">
        <f>SEARCH("entreefase",B515)</f>
        <v>#VALUE!</v>
      </c>
      <c r="K514" s="1"/>
      <c r="L514" s="3"/>
      <c r="M514" s="1"/>
      <c r="N514" s="1"/>
    </row>
    <row r="515" spans="1:14" x14ac:dyDescent="0.2">
      <c r="A515" s="1"/>
      <c r="B515" s="7" t="s">
        <v>995</v>
      </c>
      <c r="C515" s="1"/>
      <c r="D515" s="1"/>
      <c r="F515" s="1"/>
      <c r="G515" s="1"/>
      <c r="H515" s="1"/>
      <c r="I515" s="1"/>
      <c r="J515" s="5">
        <f>ABS(ISERR(J514))</f>
        <v>1</v>
      </c>
      <c r="K515" s="5">
        <f>ABS(IF(J515=0,"1","0"))</f>
        <v>0</v>
      </c>
      <c r="L515" s="3" t="s">
        <v>995</v>
      </c>
      <c r="M515" s="1"/>
      <c r="N515" s="1"/>
    </row>
    <row r="516" spans="1:14" x14ac:dyDescent="0.2">
      <c r="A516" s="1"/>
      <c r="B516" s="1"/>
      <c r="C516" s="1"/>
      <c r="D516" s="1"/>
      <c r="E516" s="1" t="s">
        <v>995</v>
      </c>
      <c r="F516" s="1"/>
      <c r="G516" s="1"/>
      <c r="H516" s="1"/>
      <c r="I516" s="1"/>
      <c r="J516" s="5" t="e">
        <f>SEARCH("fase van wederzijdse acceptatie",B515)</f>
        <v>#VALUE!</v>
      </c>
      <c r="K516" s="1"/>
      <c r="L516" s="3"/>
      <c r="M516" s="1"/>
      <c r="N516" s="1"/>
    </row>
    <row r="517" spans="1:14" x14ac:dyDescent="0.2">
      <c r="A517" s="1"/>
      <c r="B517" s="82" t="s">
        <v>1033</v>
      </c>
      <c r="C517" s="318" t="s">
        <v>995</v>
      </c>
      <c r="D517" s="1"/>
      <c r="E517" s="1"/>
      <c r="F517" s="1"/>
      <c r="G517" s="1"/>
      <c r="H517" s="1"/>
      <c r="I517" s="1"/>
      <c r="J517" s="5">
        <f>ABS(ISERR(J516))</f>
        <v>1</v>
      </c>
      <c r="K517" s="5">
        <f>ABS(IF(J517=0,"1","0"))</f>
        <v>0</v>
      </c>
      <c r="L517" s="3" t="s">
        <v>995</v>
      </c>
      <c r="M517" s="1" t="s">
        <v>995</v>
      </c>
      <c r="N517" s="1"/>
    </row>
    <row r="518" spans="1:14" x14ac:dyDescent="0.2">
      <c r="B518" s="1"/>
      <c r="D518" s="1"/>
      <c r="E518" s="1"/>
      <c r="F518" s="1"/>
      <c r="G518" s="1"/>
      <c r="H518" s="1"/>
      <c r="I518" s="1"/>
      <c r="J518" s="1"/>
      <c r="K518" s="1"/>
      <c r="L518" s="1"/>
      <c r="M518" s="1"/>
      <c r="N518" s="1"/>
    </row>
    <row r="519" spans="1:14" x14ac:dyDescent="0.2">
      <c r="A519" s="1"/>
      <c r="B519" s="1" t="str">
        <f>IF(C517="x",J519,"")</f>
        <v/>
      </c>
      <c r="C519" s="1"/>
      <c r="D519" s="1"/>
      <c r="E519" s="1"/>
      <c r="F519" s="1"/>
      <c r="G519" s="1"/>
      <c r="H519" s="1"/>
      <c r="I519" s="1"/>
      <c r="J519" s="73" t="str">
        <f>IF(C517="x","Socialisatiefase. Evt: entreefase of fase van wederzijdse acceptatie.","")</f>
        <v/>
      </c>
      <c r="K519" s="1"/>
      <c r="L519" s="1"/>
      <c r="M519" s="1" t="s">
        <v>995</v>
      </c>
      <c r="N519" s="1"/>
    </row>
    <row r="520" spans="1:14" x14ac:dyDescent="0.2">
      <c r="A520" s="14"/>
      <c r="B520" s="14"/>
      <c r="C520" s="14"/>
      <c r="D520" s="180"/>
      <c r="E520" s="14"/>
      <c r="F520" s="14"/>
      <c r="G520" s="14"/>
      <c r="H520" s="14"/>
      <c r="I520" s="14"/>
      <c r="J520" s="3"/>
      <c r="K520" s="3"/>
      <c r="L520" s="3"/>
      <c r="M520" s="1"/>
      <c r="N520" s="1"/>
    </row>
    <row r="521" spans="1:14" x14ac:dyDescent="0.2">
      <c r="A521" s="1"/>
      <c r="B521" s="1"/>
      <c r="C521" s="1"/>
      <c r="D521" s="1"/>
      <c r="E521" s="1"/>
      <c r="F521" s="1"/>
      <c r="G521" s="1"/>
      <c r="H521" s="1"/>
      <c r="I521" s="1"/>
      <c r="J521" s="3"/>
      <c r="K521" s="3"/>
      <c r="L521" s="3"/>
      <c r="M521" s="1"/>
      <c r="N521" s="1"/>
    </row>
    <row r="522" spans="1:14" x14ac:dyDescent="0.2">
      <c r="A522" s="67" t="s">
        <v>817</v>
      </c>
      <c r="B522" s="1" t="s">
        <v>2345</v>
      </c>
      <c r="C522" s="1"/>
      <c r="D522" s="7" t="s">
        <v>995</v>
      </c>
      <c r="E522" s="1">
        <f>IF(B536="x",M522,)</f>
        <v>0</v>
      </c>
      <c r="F522" s="1"/>
      <c r="G522" s="1"/>
      <c r="H522" s="1"/>
      <c r="I522" s="1"/>
      <c r="J522" s="5" t="e">
        <f>SEARCH("personeelsplanning",D522)</f>
        <v>#VALUE!</v>
      </c>
      <c r="K522" s="1"/>
      <c r="L522" s="3"/>
      <c r="M522" s="67" t="s">
        <v>1707</v>
      </c>
      <c r="N522" s="1"/>
    </row>
    <row r="523" spans="1:14" x14ac:dyDescent="0.2">
      <c r="A523" s="1"/>
      <c r="B523" s="1" t="s">
        <v>2346</v>
      </c>
      <c r="C523" s="1"/>
      <c r="D523" s="1"/>
      <c r="E523" s="1"/>
      <c r="F523" s="1"/>
      <c r="G523" s="1"/>
      <c r="H523" s="1"/>
      <c r="I523" s="1"/>
      <c r="J523" s="5">
        <f>ABS(ISERR(J522))</f>
        <v>1</v>
      </c>
      <c r="K523" s="5">
        <f>ABS(IF(J523=0,"1","0"))</f>
        <v>0</v>
      </c>
      <c r="L523" s="3">
        <v>1</v>
      </c>
      <c r="M523" s="1"/>
      <c r="N523" s="1"/>
    </row>
    <row r="524" spans="1:14" x14ac:dyDescent="0.2">
      <c r="A524" s="1"/>
      <c r="B524" t="s">
        <v>810</v>
      </c>
      <c r="C524" s="1"/>
      <c r="D524" s="1" t="s">
        <v>806</v>
      </c>
      <c r="E524" s="1"/>
      <c r="F524" s="1"/>
      <c r="G524" s="1"/>
      <c r="H524" s="1"/>
      <c r="I524" s="1"/>
      <c r="J524" s="5" t="e">
        <f>SEARCH("sollicitatie",D528)</f>
        <v>#VALUE!</v>
      </c>
      <c r="K524" s="1"/>
      <c r="L524" s="3" t="s">
        <v>995</v>
      </c>
      <c r="M524" s="67" t="s">
        <v>2749</v>
      </c>
      <c r="N524" s="1"/>
    </row>
    <row r="525" spans="1:14" x14ac:dyDescent="0.2">
      <c r="A525" s="1"/>
      <c r="B525" s="1" t="s">
        <v>811</v>
      </c>
      <c r="C525" s="1"/>
      <c r="D525" s="1"/>
      <c r="E525" s="1"/>
      <c r="F525" s="1"/>
      <c r="G525" s="1"/>
      <c r="H525" s="1"/>
      <c r="I525" s="1"/>
      <c r="J525" s="5">
        <f>ABS(ISERR(J524))</f>
        <v>1</v>
      </c>
      <c r="K525" s="5">
        <f>ABS(IF(J525=0,"1","0"))</f>
        <v>0</v>
      </c>
      <c r="L525" s="3">
        <v>1</v>
      </c>
      <c r="M525" s="1"/>
      <c r="N525" s="1"/>
    </row>
    <row r="526" spans="1:14" x14ac:dyDescent="0.2">
      <c r="A526" s="1"/>
      <c r="B526" s="1"/>
      <c r="C526" s="1"/>
      <c r="D526" s="1" t="s">
        <v>807</v>
      </c>
      <c r="E526" s="1"/>
      <c r="G526" s="1"/>
      <c r="H526" s="1"/>
      <c r="I526" s="1"/>
      <c r="J526" s="5" t="e">
        <f>SEARCH("introductie",D536)</f>
        <v>#VALUE!</v>
      </c>
      <c r="K526" s="1"/>
      <c r="L526" s="3"/>
      <c r="M526" s="67" t="s">
        <v>1706</v>
      </c>
      <c r="N526" s="1"/>
    </row>
    <row r="527" spans="1:14" x14ac:dyDescent="0.2">
      <c r="A527" s="1"/>
      <c r="B527" s="1"/>
      <c r="C527" s="1"/>
      <c r="D527" s="1"/>
      <c r="E527" s="1"/>
      <c r="F527" s="1"/>
      <c r="G527" s="1"/>
      <c r="H527" s="1"/>
      <c r="I527" s="1"/>
      <c r="J527" s="5">
        <f>ABS(ISERR(J526))</f>
        <v>1</v>
      </c>
      <c r="K527" s="5">
        <f>ABS(IF(J527=0,"1","0"))</f>
        <v>0</v>
      </c>
      <c r="L527" s="3">
        <v>1</v>
      </c>
      <c r="M527" s="1"/>
      <c r="N527" s="1"/>
    </row>
    <row r="528" spans="1:14" ht="13.5" thickBot="1" x14ac:dyDescent="0.25">
      <c r="A528" s="1"/>
      <c r="B528" s="81" t="s">
        <v>812</v>
      </c>
      <c r="C528" s="1"/>
      <c r="D528" s="7" t="s">
        <v>995</v>
      </c>
      <c r="E528" s="1">
        <f>IF(B536="x",M524,)</f>
        <v>0</v>
      </c>
      <c r="F528" s="1"/>
      <c r="G528" s="1"/>
      <c r="H528" s="1"/>
      <c r="I528" s="1"/>
      <c r="J528" s="1"/>
      <c r="K528" s="1"/>
      <c r="L528" s="3"/>
      <c r="M528" s="1"/>
      <c r="N528" s="1"/>
    </row>
    <row r="529" spans="1:14" ht="13.5" thickTop="1" x14ac:dyDescent="0.2">
      <c r="A529" s="1"/>
      <c r="B529" s="81" t="s">
        <v>2347</v>
      </c>
      <c r="C529" s="425"/>
      <c r="D529" s="1"/>
      <c r="E529" s="1"/>
      <c r="F529" s="1"/>
      <c r="G529" s="1"/>
      <c r="H529" s="1"/>
      <c r="I529" s="1"/>
      <c r="J529" s="1"/>
      <c r="K529" s="1"/>
      <c r="L529" s="3"/>
      <c r="M529" s="1"/>
      <c r="N529" s="1"/>
    </row>
    <row r="530" spans="1:14" x14ac:dyDescent="0.2">
      <c r="A530" s="1"/>
      <c r="B530" s="81" t="s">
        <v>813</v>
      </c>
      <c r="C530" s="1"/>
      <c r="D530" s="1" t="s">
        <v>808</v>
      </c>
      <c r="E530" s="1"/>
      <c r="F530" s="1"/>
      <c r="G530" s="1"/>
      <c r="H530" s="1"/>
      <c r="I530" s="1"/>
      <c r="J530" s="1"/>
      <c r="K530" s="1"/>
      <c r="L530" s="3"/>
      <c r="M530" s="1"/>
      <c r="N530" s="1"/>
    </row>
    <row r="531" spans="1:14" x14ac:dyDescent="0.2">
      <c r="A531" s="1"/>
      <c r="B531" s="81" t="s">
        <v>814</v>
      </c>
      <c r="C531" s="1"/>
      <c r="D531" s="1"/>
      <c r="E531" s="1"/>
      <c r="F531" s="1"/>
      <c r="G531" s="1"/>
      <c r="H531" s="1"/>
      <c r="I531" s="1"/>
      <c r="J531" s="1"/>
      <c r="K531" s="1"/>
      <c r="L531" s="3"/>
      <c r="M531" s="1"/>
      <c r="N531" s="1"/>
    </row>
    <row r="532" spans="1:14" x14ac:dyDescent="0.2">
      <c r="A532" s="1"/>
      <c r="B532" s="81" t="s">
        <v>815</v>
      </c>
      <c r="C532" s="1"/>
      <c r="D532" s="1" t="s">
        <v>625</v>
      </c>
      <c r="E532" s="1"/>
      <c r="F532" s="1"/>
      <c r="G532" s="1"/>
      <c r="H532" s="1"/>
      <c r="I532" s="1"/>
      <c r="J532" s="1"/>
      <c r="K532" s="1"/>
      <c r="L532" s="3"/>
      <c r="M532" s="1"/>
      <c r="N532" s="1"/>
    </row>
    <row r="533" spans="1:14" x14ac:dyDescent="0.2">
      <c r="A533" s="1"/>
      <c r="B533" s="106" t="s">
        <v>816</v>
      </c>
      <c r="C533" s="1"/>
      <c r="D533" s="1"/>
      <c r="E533" s="1"/>
      <c r="F533" s="1"/>
      <c r="G533" s="1"/>
      <c r="H533" s="1"/>
      <c r="I533" s="1"/>
      <c r="J533" s="1"/>
      <c r="K533" s="1"/>
      <c r="L533" s="3"/>
      <c r="M533" s="1"/>
      <c r="N533" s="1"/>
    </row>
    <row r="534" spans="1:14" x14ac:dyDescent="0.2">
      <c r="A534" s="1"/>
      <c r="B534" s="1"/>
      <c r="C534" s="1"/>
      <c r="D534" s="1" t="s">
        <v>809</v>
      </c>
      <c r="E534" s="1"/>
      <c r="F534" s="1"/>
      <c r="G534" s="1"/>
      <c r="H534" s="1"/>
      <c r="I534" s="1"/>
      <c r="J534" s="1"/>
      <c r="K534" s="1"/>
      <c r="L534" s="3"/>
      <c r="M534" s="1"/>
      <c r="N534" s="1"/>
    </row>
    <row r="535" spans="1:14" x14ac:dyDescent="0.2">
      <c r="A535" s="1"/>
      <c r="B535" s="54" t="s">
        <v>1872</v>
      </c>
      <c r="C535" s="1"/>
      <c r="D535" s="1"/>
      <c r="E535" s="1"/>
      <c r="F535" s="1"/>
      <c r="G535" s="1"/>
      <c r="H535" s="1"/>
      <c r="I535" s="1"/>
      <c r="J535" s="1"/>
      <c r="K535" s="1"/>
      <c r="L535" s="3"/>
      <c r="M535" s="1"/>
      <c r="N535" s="1"/>
    </row>
    <row r="536" spans="1:14" x14ac:dyDescent="0.2">
      <c r="A536" s="1"/>
      <c r="B536" s="318" t="s">
        <v>995</v>
      </c>
      <c r="C536" s="1"/>
      <c r="D536" s="7" t="s">
        <v>995</v>
      </c>
      <c r="E536" s="1">
        <f>IF(B536="x",M526,)</f>
        <v>0</v>
      </c>
      <c r="F536" s="1"/>
      <c r="G536" s="1"/>
      <c r="H536" s="1"/>
      <c r="I536" s="1"/>
      <c r="J536" s="1"/>
      <c r="K536" s="1"/>
      <c r="L536" s="3"/>
      <c r="M536" s="1"/>
      <c r="N536" s="1"/>
    </row>
    <row r="537" spans="1:14" x14ac:dyDescent="0.2">
      <c r="A537" s="1"/>
      <c r="B537" s="1"/>
      <c r="C537" s="1"/>
      <c r="D537" s="1"/>
      <c r="E537" s="1"/>
      <c r="F537" s="1"/>
      <c r="G537" s="1"/>
      <c r="H537" s="1"/>
      <c r="I537" s="1"/>
      <c r="J537" s="1"/>
      <c r="K537" s="1"/>
      <c r="L537" s="3"/>
      <c r="M537" s="1"/>
      <c r="N537" s="1"/>
    </row>
    <row r="538" spans="1:14" x14ac:dyDescent="0.2">
      <c r="A538" s="14"/>
      <c r="B538" s="14"/>
      <c r="C538" s="14"/>
      <c r="D538" s="180"/>
      <c r="E538" s="14"/>
      <c r="F538" s="14"/>
      <c r="G538" s="14"/>
      <c r="H538" s="14"/>
      <c r="I538" s="14"/>
      <c r="J538" s="1"/>
      <c r="K538" s="1"/>
      <c r="L538" s="3"/>
      <c r="M538" s="1"/>
      <c r="N538" s="1"/>
    </row>
    <row r="539" spans="1:14" x14ac:dyDescent="0.2">
      <c r="A539" s="1"/>
      <c r="B539" s="1"/>
      <c r="C539" s="1"/>
      <c r="D539" s="1"/>
      <c r="E539" s="1"/>
      <c r="F539" s="1"/>
      <c r="G539" s="1"/>
      <c r="H539" s="1"/>
      <c r="I539" s="1"/>
      <c r="J539" s="1"/>
      <c r="K539" s="1"/>
      <c r="L539" s="3"/>
      <c r="M539" s="1"/>
      <c r="N539" s="1"/>
    </row>
    <row r="540" spans="1:14" x14ac:dyDescent="0.2">
      <c r="A540" s="67" t="s">
        <v>1048</v>
      </c>
      <c r="B540" s="81" t="s">
        <v>895</v>
      </c>
      <c r="C540" s="1"/>
      <c r="D540" s="1"/>
      <c r="E540" s="1"/>
      <c r="F540" s="1"/>
      <c r="G540" s="1"/>
      <c r="H540" s="1"/>
      <c r="I540" s="1"/>
      <c r="J540" s="1"/>
      <c r="K540" s="1"/>
      <c r="L540" s="3"/>
      <c r="M540" s="1"/>
      <c r="N540" s="1"/>
    </row>
    <row r="541" spans="1:14" ht="13.5" thickBot="1" x14ac:dyDescent="0.25">
      <c r="A541" s="1"/>
      <c r="B541" s="1"/>
      <c r="C541" s="1"/>
      <c r="D541" s="292" t="s">
        <v>306</v>
      </c>
      <c r="E541" s="293" t="s">
        <v>304</v>
      </c>
      <c r="F541" s="411" t="str">
        <f>IF(D557="x",M541,"")</f>
        <v/>
      </c>
      <c r="G541" s="1"/>
      <c r="H541" s="1"/>
      <c r="I541" s="1"/>
      <c r="J541" s="1"/>
      <c r="K541" s="1"/>
      <c r="L541" s="1"/>
      <c r="M541" s="1" t="s">
        <v>878</v>
      </c>
    </row>
    <row r="542" spans="1:14" ht="13.5" thickTop="1" x14ac:dyDescent="0.2">
      <c r="A542" s="16" t="s">
        <v>475</v>
      </c>
      <c r="B542" s="584" t="s">
        <v>818</v>
      </c>
      <c r="C542" s="137"/>
      <c r="D542" s="596" t="s">
        <v>995</v>
      </c>
      <c r="E542" s="412" t="s">
        <v>995</v>
      </c>
      <c r="F542" s="3" t="str">
        <f>IF(C561="x",M542,"")</f>
        <v/>
      </c>
      <c r="G542" s="1"/>
      <c r="H542" s="1"/>
      <c r="I542" s="1"/>
      <c r="J542" s="5" t="str">
        <f>IF(D542="x","JUIST","")</f>
        <v/>
      </c>
      <c r="K542" s="5">
        <f>ABS(IF(J542="JUIST","1","0"))</f>
        <v>0</v>
      </c>
      <c r="L542" s="3">
        <v>1</v>
      </c>
      <c r="M542" s="1" t="s">
        <v>306</v>
      </c>
      <c r="N542" s="1"/>
    </row>
    <row r="543" spans="1:14" x14ac:dyDescent="0.2">
      <c r="A543" s="16" t="s">
        <v>476</v>
      </c>
      <c r="B543" s="589" t="s">
        <v>2348</v>
      </c>
      <c r="C543" s="63"/>
      <c r="D543" s="407" t="s">
        <v>995</v>
      </c>
      <c r="E543" s="406"/>
      <c r="F543" s="1"/>
      <c r="G543" s="1"/>
      <c r="H543" s="1"/>
      <c r="I543" s="1"/>
      <c r="J543" s="3"/>
      <c r="K543" s="3"/>
      <c r="L543" s="3"/>
      <c r="M543" s="1"/>
      <c r="N543" s="1"/>
    </row>
    <row r="544" spans="1:14" x14ac:dyDescent="0.2">
      <c r="A544" s="16"/>
      <c r="B544" s="585" t="s">
        <v>2349</v>
      </c>
      <c r="C544" s="135"/>
      <c r="D544" s="481" t="s">
        <v>995</v>
      </c>
      <c r="E544" s="413" t="s">
        <v>995</v>
      </c>
      <c r="F544" s="3" t="str">
        <f>IF(C561="x",M544,"")</f>
        <v/>
      </c>
      <c r="G544" s="1"/>
      <c r="H544" s="1"/>
      <c r="I544" s="1"/>
      <c r="J544" s="5" t="str">
        <f>IF(D544="x","JUIST","")</f>
        <v/>
      </c>
      <c r="K544" s="5">
        <f>ABS(IF(J544="JUIST","1","0"))</f>
        <v>0</v>
      </c>
      <c r="L544" s="3">
        <v>1</v>
      </c>
      <c r="M544" s="1" t="s">
        <v>306</v>
      </c>
      <c r="N544" s="1"/>
    </row>
    <row r="545" spans="1:14" x14ac:dyDescent="0.2">
      <c r="A545" s="16" t="s">
        <v>477</v>
      </c>
      <c r="B545" s="589" t="s">
        <v>819</v>
      </c>
      <c r="C545" s="63"/>
      <c r="D545" s="481" t="s">
        <v>995</v>
      </c>
      <c r="E545" s="595" t="s">
        <v>995</v>
      </c>
      <c r="F545" s="3" t="str">
        <f>IF(C561="x",M545,"")</f>
        <v/>
      </c>
      <c r="G545" s="1"/>
      <c r="H545" s="1"/>
      <c r="I545" s="1"/>
      <c r="J545" s="5" t="str">
        <f>IF(E545="x","JUIST","")</f>
        <v/>
      </c>
      <c r="K545" s="5">
        <f>ABS(IF(J545="JUIST","1","0"))</f>
        <v>0</v>
      </c>
      <c r="L545" s="3">
        <v>1</v>
      </c>
      <c r="M545" s="1" t="s">
        <v>304</v>
      </c>
      <c r="N545" s="1"/>
    </row>
    <row r="546" spans="1:14" x14ac:dyDescent="0.2">
      <c r="A546" s="16" t="s">
        <v>478</v>
      </c>
      <c r="B546" s="589" t="s">
        <v>2350</v>
      </c>
      <c r="C546" s="63"/>
      <c r="D546" s="407" t="s">
        <v>995</v>
      </c>
      <c r="E546" s="406" t="s">
        <v>995</v>
      </c>
      <c r="F546" s="1"/>
      <c r="G546" s="1"/>
      <c r="H546" s="1"/>
      <c r="I546" s="1"/>
      <c r="J546" s="3"/>
      <c r="K546" s="3"/>
      <c r="L546" s="3"/>
      <c r="M546" s="1"/>
      <c r="N546" s="1"/>
    </row>
    <row r="547" spans="1:14" x14ac:dyDescent="0.2">
      <c r="A547" s="16"/>
      <c r="B547" s="585" t="s">
        <v>820</v>
      </c>
      <c r="C547" s="135"/>
      <c r="D547" s="43" t="s">
        <v>995</v>
      </c>
      <c r="E547" s="595" t="s">
        <v>995</v>
      </c>
      <c r="F547" s="3" t="str">
        <f>IF(C561="x",M547,"")</f>
        <v/>
      </c>
      <c r="G547" s="1"/>
      <c r="H547" s="1"/>
      <c r="I547" s="1"/>
      <c r="J547" s="5" t="str">
        <f>IF(E547="x","JUIST","")</f>
        <v/>
      </c>
      <c r="K547" s="5">
        <f>ABS(IF(J547="JUIST","1","0"))</f>
        <v>0</v>
      </c>
      <c r="L547" s="3">
        <v>1</v>
      </c>
      <c r="M547" s="1" t="s">
        <v>304</v>
      </c>
      <c r="N547" s="1"/>
    </row>
    <row r="548" spans="1:14" x14ac:dyDescent="0.2">
      <c r="A548" s="16" t="s">
        <v>479</v>
      </c>
      <c r="B548" s="589" t="s">
        <v>823</v>
      </c>
      <c r="C548" s="63"/>
      <c r="D548" s="481" t="s">
        <v>995</v>
      </c>
      <c r="E548" s="595" t="s">
        <v>995</v>
      </c>
      <c r="F548" s="3" t="str">
        <f>IF(C561="x",M548,"")</f>
        <v/>
      </c>
      <c r="G548" s="1"/>
      <c r="H548" s="1"/>
      <c r="I548" s="1"/>
      <c r="J548" s="5" t="str">
        <f>IF(D548="x","JUIST","")</f>
        <v/>
      </c>
      <c r="K548" s="5">
        <f>ABS(IF(J548="JUIST","1","0"))</f>
        <v>0</v>
      </c>
      <c r="L548" s="3">
        <v>1</v>
      </c>
      <c r="M548" s="67" t="s">
        <v>306</v>
      </c>
      <c r="N548" s="1"/>
    </row>
    <row r="549" spans="1:14" x14ac:dyDescent="0.2">
      <c r="A549" s="16" t="s">
        <v>480</v>
      </c>
      <c r="B549" s="589" t="s">
        <v>822</v>
      </c>
      <c r="C549" s="63"/>
      <c r="D549" s="407" t="s">
        <v>995</v>
      </c>
      <c r="E549" s="406" t="s">
        <v>995</v>
      </c>
      <c r="F549" s="1"/>
      <c r="G549" s="1"/>
      <c r="H549" s="1"/>
      <c r="I549" s="1"/>
      <c r="J549" s="3"/>
      <c r="K549" s="3"/>
      <c r="L549" s="3"/>
      <c r="M549" s="1"/>
      <c r="N549" s="1"/>
    </row>
    <row r="550" spans="1:14" x14ac:dyDescent="0.2">
      <c r="A550" s="16"/>
      <c r="B550" s="585" t="s">
        <v>821</v>
      </c>
      <c r="C550" s="135"/>
      <c r="D550" s="43" t="s">
        <v>995</v>
      </c>
      <c r="E550" s="595" t="s">
        <v>995</v>
      </c>
      <c r="F550" s="3" t="str">
        <f>IF(C561="x",M550,"")</f>
        <v/>
      </c>
      <c r="G550" s="1"/>
      <c r="H550" s="1"/>
      <c r="I550" s="1"/>
      <c r="J550" s="5" t="str">
        <f>IF(E550="x","JUIST","")</f>
        <v/>
      </c>
      <c r="K550" s="5">
        <f>ABS(IF(J550="JUIST","1","0"))</f>
        <v>0</v>
      </c>
      <c r="L550" s="3">
        <v>1</v>
      </c>
      <c r="M550" s="1" t="s">
        <v>304</v>
      </c>
      <c r="N550" s="1"/>
    </row>
    <row r="551" spans="1:14" x14ac:dyDescent="0.2">
      <c r="A551" s="16" t="s">
        <v>481</v>
      </c>
      <c r="B551" s="589" t="s">
        <v>824</v>
      </c>
      <c r="C551" s="63"/>
      <c r="D551" s="481" t="s">
        <v>995</v>
      </c>
      <c r="E551" s="413" t="s">
        <v>995</v>
      </c>
      <c r="F551" s="3" t="str">
        <f>IF(C561="x",M551,"")</f>
        <v/>
      </c>
      <c r="G551" s="1"/>
      <c r="H551" s="1"/>
      <c r="I551" s="1"/>
      <c r="J551" s="5" t="str">
        <f>IF(D551="x","JUIST","")</f>
        <v/>
      </c>
      <c r="K551" s="5">
        <f>ABS(IF(J551="JUIST","1","0"))</f>
        <v>0</v>
      </c>
      <c r="L551" s="3">
        <v>1</v>
      </c>
      <c r="M551" s="1" t="s">
        <v>306</v>
      </c>
      <c r="N551" s="1"/>
    </row>
    <row r="552" spans="1:14" x14ac:dyDescent="0.2">
      <c r="A552" s="16" t="s">
        <v>482</v>
      </c>
      <c r="B552" s="589" t="s">
        <v>825</v>
      </c>
      <c r="C552" s="63"/>
      <c r="D552" s="407"/>
      <c r="E552" s="406" t="s">
        <v>995</v>
      </c>
      <c r="F552" s="1"/>
      <c r="G552" s="1"/>
      <c r="H552" s="1"/>
      <c r="I552" s="1"/>
      <c r="J552" s="3"/>
      <c r="K552" s="3"/>
      <c r="L552" s="3"/>
      <c r="M552" s="1"/>
      <c r="N552" s="1"/>
    </row>
    <row r="553" spans="1:14" x14ac:dyDescent="0.2">
      <c r="A553" s="16"/>
      <c r="B553" s="585" t="s">
        <v>826</v>
      </c>
      <c r="C553" s="135"/>
      <c r="D553" s="43" t="s">
        <v>995</v>
      </c>
      <c r="E553" s="595" t="s">
        <v>995</v>
      </c>
      <c r="F553" s="3" t="str">
        <f>IF(C561="x",M553,"")</f>
        <v/>
      </c>
      <c r="G553" s="1"/>
      <c r="H553" s="1"/>
      <c r="I553" s="1"/>
      <c r="J553" s="5" t="str">
        <f>IF(E553="x","JUIST","")</f>
        <v/>
      </c>
      <c r="K553" s="5">
        <f>ABS(IF(J553="JUIST","1","0"))</f>
        <v>0</v>
      </c>
      <c r="L553" s="3">
        <v>1</v>
      </c>
      <c r="M553" s="1" t="s">
        <v>304</v>
      </c>
      <c r="N553" s="1"/>
    </row>
    <row r="554" spans="1:14" x14ac:dyDescent="0.2">
      <c r="A554" s="16" t="s">
        <v>483</v>
      </c>
      <c r="B554" s="589" t="s">
        <v>2351</v>
      </c>
      <c r="C554" s="63"/>
      <c r="D554" s="407"/>
      <c r="E554" s="406" t="s">
        <v>995</v>
      </c>
      <c r="F554" s="1"/>
      <c r="G554" s="1"/>
      <c r="H554" s="1"/>
      <c r="I554" s="1"/>
      <c r="J554" s="3"/>
      <c r="K554" s="3"/>
      <c r="L554" s="3"/>
      <c r="M554" s="1"/>
      <c r="N554" s="1"/>
    </row>
    <row r="555" spans="1:14" x14ac:dyDescent="0.2">
      <c r="A555" s="16"/>
      <c r="B555" s="585" t="s">
        <v>1043</v>
      </c>
      <c r="C555" s="135"/>
      <c r="D555" s="481" t="s">
        <v>995</v>
      </c>
      <c r="E555" s="413" t="s">
        <v>995</v>
      </c>
      <c r="F555" s="3" t="str">
        <f>IF(C561="x",M555,"")</f>
        <v/>
      </c>
      <c r="G555" s="1"/>
      <c r="H555" s="1"/>
      <c r="I555" s="1"/>
      <c r="J555" s="5" t="str">
        <f>IF(D555="x","JUIST","")</f>
        <v/>
      </c>
      <c r="K555" s="5">
        <f>ABS(IF(J555="JUIST","1","0"))</f>
        <v>0</v>
      </c>
      <c r="L555" s="3">
        <v>1</v>
      </c>
      <c r="M555" s="1" t="s">
        <v>306</v>
      </c>
      <c r="N555" s="1"/>
    </row>
    <row r="556" spans="1:14" x14ac:dyDescent="0.2">
      <c r="A556" s="16" t="s">
        <v>662</v>
      </c>
      <c r="B556" s="589" t="s">
        <v>1044</v>
      </c>
      <c r="C556" s="63"/>
      <c r="D556" s="407"/>
      <c r="E556" s="406" t="s">
        <v>995</v>
      </c>
      <c r="F556" s="1"/>
      <c r="G556" s="1"/>
      <c r="H556" s="1"/>
      <c r="I556" s="1"/>
      <c r="J556" s="3"/>
      <c r="K556" s="3"/>
      <c r="L556" s="3"/>
      <c r="M556" s="1"/>
      <c r="N556" s="1"/>
    </row>
    <row r="557" spans="1:14" x14ac:dyDescent="0.2">
      <c r="A557" s="16"/>
      <c r="B557" s="585" t="s">
        <v>1045</v>
      </c>
      <c r="C557" s="135"/>
      <c r="D557" s="481" t="s">
        <v>995</v>
      </c>
      <c r="E557" s="413" t="s">
        <v>995</v>
      </c>
      <c r="F557" s="3" t="str">
        <f>IF(C561="x",M557,"")</f>
        <v/>
      </c>
      <c r="G557" s="1"/>
      <c r="H557" s="1"/>
      <c r="I557" s="1"/>
      <c r="J557" s="5" t="str">
        <f>IF(D557="x","JUIST","")</f>
        <v/>
      </c>
      <c r="K557" s="5">
        <f>ABS(IF(J557="JUIST","1","0"))</f>
        <v>0</v>
      </c>
      <c r="L557" s="3">
        <v>1</v>
      </c>
      <c r="M557" s="1" t="s">
        <v>306</v>
      </c>
      <c r="N557" s="1"/>
    </row>
    <row r="558" spans="1:14" x14ac:dyDescent="0.2">
      <c r="A558" s="16" t="s">
        <v>1240</v>
      </c>
      <c r="B558" s="589" t="s">
        <v>1047</v>
      </c>
      <c r="C558" s="63"/>
      <c r="D558" s="407"/>
      <c r="E558" s="406" t="s">
        <v>995</v>
      </c>
      <c r="F558" s="1"/>
      <c r="G558" s="1"/>
      <c r="H558" s="1"/>
      <c r="I558" s="1"/>
      <c r="J558" s="3"/>
      <c r="K558" s="3"/>
      <c r="L558" s="3"/>
      <c r="M558" s="1"/>
      <c r="N558" s="1"/>
    </row>
    <row r="559" spans="1:14" x14ac:dyDescent="0.2">
      <c r="A559" s="16"/>
      <c r="B559" s="586" t="s">
        <v>1046</v>
      </c>
      <c r="C559" s="157"/>
      <c r="D559" s="10" t="s">
        <v>995</v>
      </c>
      <c r="E559" s="597" t="s">
        <v>995</v>
      </c>
      <c r="F559" s="3" t="str">
        <f>IF(C561="x",M559,"")</f>
        <v/>
      </c>
      <c r="G559" s="1"/>
      <c r="H559" s="1"/>
      <c r="I559" s="1"/>
      <c r="J559" s="5" t="str">
        <f>IF(E559="x","JUIST","")</f>
        <v/>
      </c>
      <c r="K559" s="5">
        <f>ABS(IF(J559="JUIST","1","0"))</f>
        <v>0</v>
      </c>
      <c r="L559" s="3">
        <v>1</v>
      </c>
      <c r="M559" s="1" t="s">
        <v>304</v>
      </c>
      <c r="N559" s="1"/>
    </row>
    <row r="560" spans="1:14" x14ac:dyDescent="0.2">
      <c r="A560" s="16"/>
      <c r="B560" s="18"/>
      <c r="C560" s="18"/>
      <c r="D560" s="198"/>
      <c r="E560" s="198"/>
      <c r="F560" s="1"/>
      <c r="G560" s="1"/>
      <c r="H560" s="1"/>
      <c r="I560" s="1"/>
      <c r="J560" s="18"/>
      <c r="K560" s="18"/>
      <c r="L560" s="3"/>
      <c r="M560" s="1"/>
      <c r="N560" s="1"/>
    </row>
    <row r="561" spans="1:14" x14ac:dyDescent="0.2">
      <c r="A561" s="16"/>
      <c r="B561" s="82" t="s">
        <v>1033</v>
      </c>
      <c r="C561" s="318" t="s">
        <v>995</v>
      </c>
      <c r="D561" s="198"/>
      <c r="E561" s="198"/>
      <c r="F561" s="1"/>
      <c r="G561" s="1"/>
      <c r="H561" s="1"/>
      <c r="I561" s="1"/>
      <c r="J561" s="18"/>
      <c r="K561" s="18"/>
      <c r="L561" s="3"/>
      <c r="M561" s="1"/>
      <c r="N561" s="1"/>
    </row>
    <row r="562" spans="1:14" x14ac:dyDescent="0.2">
      <c r="A562" s="1"/>
      <c r="B562" s="1"/>
      <c r="C562" s="1"/>
      <c r="D562" s="1"/>
      <c r="E562" s="1"/>
      <c r="F562" s="1"/>
      <c r="G562" s="1"/>
      <c r="H562" s="1"/>
      <c r="I562" s="1"/>
      <c r="J562" s="1"/>
      <c r="K562" s="1"/>
      <c r="L562" s="3"/>
      <c r="M562" s="1"/>
      <c r="N562" s="1"/>
    </row>
    <row r="563" spans="1:14" x14ac:dyDescent="0.2">
      <c r="A563" s="14"/>
      <c r="B563" s="14"/>
      <c r="C563" s="14"/>
      <c r="D563" s="180"/>
      <c r="E563" s="14"/>
      <c r="F563" s="14"/>
      <c r="G563" s="14"/>
      <c r="H563" s="14"/>
      <c r="I563" s="14"/>
      <c r="J563" s="1"/>
      <c r="K563" s="1"/>
      <c r="L563" s="3"/>
      <c r="M563" s="1"/>
      <c r="N563" s="1"/>
    </row>
    <row r="564" spans="1:14" x14ac:dyDescent="0.2">
      <c r="A564" s="1"/>
      <c r="B564" s="1"/>
      <c r="C564" s="1"/>
      <c r="D564" s="1"/>
      <c r="E564" s="1"/>
      <c r="F564" s="1"/>
      <c r="G564" s="1"/>
      <c r="H564" s="1"/>
      <c r="I564" s="1"/>
      <c r="J564" s="1"/>
      <c r="K564" s="1"/>
      <c r="L564" s="3"/>
      <c r="M564" s="1"/>
      <c r="N564" s="1"/>
    </row>
    <row r="565" spans="1:14" x14ac:dyDescent="0.2">
      <c r="A565" s="67" t="s">
        <v>1057</v>
      </c>
      <c r="B565" s="1" t="s">
        <v>2352</v>
      </c>
      <c r="C565" s="1"/>
      <c r="D565" s="1"/>
      <c r="E565" s="5" t="s">
        <v>1049</v>
      </c>
      <c r="F565" s="3" t="s">
        <v>1054</v>
      </c>
      <c r="G565" s="5" t="s">
        <v>843</v>
      </c>
      <c r="H565" s="1"/>
      <c r="I565" s="1"/>
      <c r="J565" s="5" t="e">
        <f>SEARCH("POP",F571)</f>
        <v>#VALUE!</v>
      </c>
      <c r="K565" s="1"/>
      <c r="L565" s="3"/>
      <c r="M565" s="1"/>
      <c r="N565" s="1"/>
    </row>
    <row r="566" spans="1:14" x14ac:dyDescent="0.2">
      <c r="A566" s="1"/>
      <c r="B566" s="1" t="s">
        <v>2353</v>
      </c>
      <c r="C566" s="1"/>
      <c r="D566" s="1"/>
      <c r="E566" s="3"/>
      <c r="F566" s="3"/>
      <c r="G566" s="3"/>
      <c r="H566" s="1"/>
      <c r="I566" s="1"/>
      <c r="J566" s="5">
        <f>ABS(ISERR(J565))</f>
        <v>1</v>
      </c>
      <c r="K566" s="5">
        <f>ABS(IF(J566=0,"1","0"))</f>
        <v>0</v>
      </c>
      <c r="L566" s="3">
        <v>1</v>
      </c>
      <c r="M566" s="1"/>
      <c r="N566" s="1"/>
    </row>
    <row r="567" spans="1:14" x14ac:dyDescent="0.2">
      <c r="A567" s="1"/>
      <c r="B567" s="1" t="s">
        <v>1055</v>
      </c>
      <c r="C567" s="1"/>
      <c r="D567" s="1"/>
      <c r="E567" s="5" t="s">
        <v>1050</v>
      </c>
      <c r="F567" s="3"/>
      <c r="G567" s="5" t="s">
        <v>1051</v>
      </c>
      <c r="H567" s="1"/>
      <c r="I567" s="1"/>
      <c r="J567" s="5" t="e">
        <f>SEARCH("persoonlijk ontwikkelingsplan",F571)</f>
        <v>#VALUE!</v>
      </c>
      <c r="K567" s="1"/>
      <c r="L567" s="3"/>
      <c r="M567" s="1"/>
      <c r="N567" s="1"/>
    </row>
    <row r="568" spans="1:14" x14ac:dyDescent="0.2">
      <c r="A568" s="1"/>
      <c r="B568" s="1" t="s">
        <v>1056</v>
      </c>
      <c r="C568" s="1"/>
      <c r="D568" s="1"/>
      <c r="E568" s="3"/>
      <c r="F568" s="3"/>
      <c r="G568" s="3"/>
      <c r="H568" s="1"/>
      <c r="I568" s="1"/>
      <c r="J568" s="5">
        <f>ABS(ISERR(J567))</f>
        <v>1</v>
      </c>
      <c r="K568" s="5">
        <f>ABS(IF(J568=0,"1","0"))</f>
        <v>0</v>
      </c>
      <c r="L568" s="3"/>
      <c r="M568" s="1"/>
      <c r="N568" s="1"/>
    </row>
    <row r="569" spans="1:14" x14ac:dyDescent="0.2">
      <c r="A569" s="1"/>
      <c r="B569" s="1"/>
      <c r="C569" s="1"/>
      <c r="D569" s="1"/>
      <c r="E569" s="5" t="s">
        <v>1052</v>
      </c>
      <c r="F569" s="3"/>
      <c r="G569" s="5" t="s">
        <v>1053</v>
      </c>
      <c r="H569" s="1"/>
      <c r="I569" s="1"/>
      <c r="J569" s="1"/>
      <c r="K569" s="1"/>
      <c r="L569" s="3"/>
      <c r="M569" s="1"/>
      <c r="N569" s="1"/>
    </row>
    <row r="570" spans="1:14" x14ac:dyDescent="0.2">
      <c r="A570" s="1"/>
      <c r="B570" s="82" t="s">
        <v>1033</v>
      </c>
      <c r="C570" s="318" t="s">
        <v>995</v>
      </c>
      <c r="D570" s="1"/>
      <c r="E570" s="3"/>
      <c r="F570" s="3"/>
      <c r="G570" s="3"/>
      <c r="H570" s="1"/>
      <c r="I570" s="1"/>
      <c r="J570" s="73" t="str">
        <f>IF(C570="x","POP; Persoonlijk OntwikkelingsPlan","")</f>
        <v/>
      </c>
      <c r="K570" s="1"/>
      <c r="L570" s="3"/>
      <c r="M570" s="1"/>
      <c r="N570" s="1"/>
    </row>
    <row r="571" spans="1:14" x14ac:dyDescent="0.2">
      <c r="A571" s="1"/>
      <c r="B571" s="3" t="str">
        <f>IF(C570="x",J570,"")</f>
        <v/>
      </c>
      <c r="C571" s="1"/>
      <c r="D571" s="1"/>
      <c r="E571" s="3"/>
      <c r="F571" s="10" t="s">
        <v>995</v>
      </c>
      <c r="G571" s="3"/>
      <c r="H571" s="1"/>
      <c r="I571" s="1"/>
      <c r="J571" s="1"/>
      <c r="K571" s="1"/>
      <c r="L571" s="3"/>
      <c r="M571" s="1"/>
      <c r="N571" s="1"/>
    </row>
    <row r="572" spans="1:14" x14ac:dyDescent="0.2">
      <c r="A572" s="1"/>
      <c r="B572" s="1"/>
      <c r="C572" s="1"/>
      <c r="D572" s="1"/>
      <c r="E572" s="3"/>
      <c r="F572" s="3"/>
      <c r="G572" s="3"/>
      <c r="H572" s="1"/>
      <c r="I572" s="1"/>
      <c r="J572" s="1"/>
      <c r="K572" s="1"/>
      <c r="L572" s="3"/>
      <c r="M572" s="1"/>
      <c r="N572" s="1"/>
    </row>
    <row r="573" spans="1:14" x14ac:dyDescent="0.2">
      <c r="A573" s="1"/>
      <c r="B573" s="1"/>
      <c r="C573" s="1"/>
      <c r="D573" s="1"/>
      <c r="E573" s="5" t="s">
        <v>1049</v>
      </c>
      <c r="F573" s="3" t="s">
        <v>1054</v>
      </c>
      <c r="G573" s="5" t="s">
        <v>843</v>
      </c>
      <c r="H573" s="1"/>
      <c r="I573" s="1"/>
      <c r="J573" s="1"/>
      <c r="K573" s="1"/>
      <c r="L573" s="3"/>
      <c r="M573" s="1"/>
      <c r="N573" s="1"/>
    </row>
    <row r="574" spans="1:14" x14ac:dyDescent="0.2">
      <c r="A574" s="1"/>
      <c r="B574" s="1"/>
      <c r="C574" s="1"/>
      <c r="D574" s="1"/>
      <c r="E574" s="1"/>
      <c r="F574" s="1"/>
      <c r="G574" s="1"/>
      <c r="H574" s="1"/>
      <c r="I574" s="1"/>
      <c r="J574" s="1"/>
      <c r="K574" s="1"/>
      <c r="L574" s="3"/>
      <c r="M574" s="1"/>
      <c r="N574" s="1"/>
    </row>
    <row r="575" spans="1:14" x14ac:dyDescent="0.2">
      <c r="A575" s="14"/>
      <c r="B575" s="14"/>
      <c r="C575" s="14"/>
      <c r="D575" s="180"/>
      <c r="E575" s="14"/>
      <c r="F575" s="14"/>
      <c r="G575" s="14"/>
      <c r="H575" s="14"/>
      <c r="I575" s="14"/>
      <c r="J575" s="1"/>
      <c r="K575" s="1"/>
      <c r="L575" s="3"/>
      <c r="M575" s="1"/>
      <c r="N575" s="1"/>
    </row>
    <row r="576" spans="1:14" x14ac:dyDescent="0.2">
      <c r="A576" s="1"/>
      <c r="B576" s="1"/>
      <c r="C576" s="1"/>
      <c r="D576" s="1"/>
      <c r="E576" s="1"/>
      <c r="F576" s="1"/>
      <c r="G576" s="1"/>
      <c r="H576" s="1"/>
      <c r="I576" s="1"/>
      <c r="J576" s="1"/>
      <c r="K576" s="1"/>
      <c r="L576" s="3"/>
      <c r="M576" s="1"/>
      <c r="N576" s="1"/>
    </row>
    <row r="577" spans="1:14" ht="26.25" thickBot="1" x14ac:dyDescent="0.25">
      <c r="A577" s="67" t="s">
        <v>1058</v>
      </c>
      <c r="B577" s="103" t="s">
        <v>2354</v>
      </c>
      <c r="C577" s="102" t="s">
        <v>446</v>
      </c>
      <c r="D577" s="102" t="s">
        <v>1623</v>
      </c>
      <c r="E577" s="526" t="s">
        <v>2119</v>
      </c>
      <c r="F577" s="527" t="s">
        <v>2120</v>
      </c>
      <c r="G577" s="1"/>
      <c r="H577" s="1"/>
      <c r="I577" s="1"/>
      <c r="J577" s="1"/>
      <c r="K577" s="1"/>
      <c r="L577" s="3"/>
      <c r="M577" s="3"/>
      <c r="N577" s="1"/>
    </row>
    <row r="578" spans="1:14" ht="13.5" thickTop="1" x14ac:dyDescent="0.2">
      <c r="A578" s="1"/>
      <c r="B578" s="200" t="s">
        <v>2355</v>
      </c>
      <c r="C578" s="425" t="s">
        <v>995</v>
      </c>
      <c r="D578" s="425" t="s">
        <v>995</v>
      </c>
      <c r="E578" s="425" t="s">
        <v>995</v>
      </c>
      <c r="F578" s="425" t="s">
        <v>995</v>
      </c>
      <c r="G578" s="1"/>
      <c r="H578" s="1"/>
      <c r="I578" s="1"/>
      <c r="J578" s="5" t="str">
        <f>IF(C578="x","FOUT","")</f>
        <v/>
      </c>
      <c r="K578" s="5">
        <f>ABS(IF(J578="JUISt","1","0"))</f>
        <v>0</v>
      </c>
      <c r="L578" s="3" t="s">
        <v>995</v>
      </c>
      <c r="M578" s="3"/>
      <c r="N578" s="1"/>
    </row>
    <row r="579" spans="1:14" x14ac:dyDescent="0.2">
      <c r="A579" s="1"/>
      <c r="B579" s="61" t="s">
        <v>2356</v>
      </c>
      <c r="C579" s="3" t="s">
        <v>475</v>
      </c>
      <c r="D579" s="3" t="s">
        <v>476</v>
      </c>
      <c r="E579" s="3" t="s">
        <v>477</v>
      </c>
      <c r="F579" s="3" t="s">
        <v>478</v>
      </c>
      <c r="G579" s="1"/>
      <c r="H579" s="1"/>
      <c r="I579" s="1"/>
      <c r="J579" s="5" t="str">
        <f>IF(D578="x","JUIST","")</f>
        <v/>
      </c>
      <c r="K579" s="5">
        <f>ABS(IF(J579="JUIST","1","0"))</f>
        <v>0</v>
      </c>
      <c r="L579" s="3">
        <v>1</v>
      </c>
      <c r="M579" s="3"/>
      <c r="N579" s="1"/>
    </row>
    <row r="580" spans="1:14" x14ac:dyDescent="0.2">
      <c r="A580" s="1"/>
      <c r="B580" s="67" t="s">
        <v>2357</v>
      </c>
      <c r="C580" s="3"/>
      <c r="D580" s="3"/>
      <c r="E580" s="3"/>
      <c r="F580" s="3"/>
      <c r="G580" s="1"/>
      <c r="H580" s="1"/>
      <c r="I580" s="1"/>
      <c r="J580" s="5" t="str">
        <f>IF(E578="x","FOUT","")</f>
        <v/>
      </c>
      <c r="K580" s="5">
        <f>ABS(IF(J580="JUIST","1","0"))</f>
        <v>0</v>
      </c>
      <c r="L580" s="3" t="s">
        <v>995</v>
      </c>
      <c r="M580" s="3"/>
      <c r="N580" s="1"/>
    </row>
    <row r="581" spans="1:14" x14ac:dyDescent="0.2">
      <c r="A581" s="1"/>
      <c r="B581" s="1" t="s">
        <v>995</v>
      </c>
      <c r="C581" s="1"/>
      <c r="D581" s="1"/>
      <c r="E581" s="1"/>
      <c r="F581" s="1"/>
      <c r="G581" s="1"/>
      <c r="H581" s="1"/>
      <c r="I581" s="1"/>
      <c r="J581" s="5" t="str">
        <f>IF(F578="x","FOUT","")</f>
        <v/>
      </c>
      <c r="K581" s="5">
        <f>ABS(IF(J581="JUIST","1","0"))</f>
        <v>0</v>
      </c>
      <c r="L581" s="3">
        <v>0</v>
      </c>
      <c r="M581" s="3"/>
      <c r="N581" s="1"/>
    </row>
    <row r="582" spans="1:14" x14ac:dyDescent="0.2">
      <c r="A582" s="1"/>
      <c r="B582" s="80" t="s">
        <v>333</v>
      </c>
      <c r="C582" s="1"/>
      <c r="D582" s="1"/>
      <c r="E582" s="253" t="s">
        <v>1075</v>
      </c>
      <c r="F582" s="1"/>
      <c r="G582" s="1"/>
      <c r="H582" s="1"/>
      <c r="I582" s="1"/>
      <c r="J582" s="1"/>
      <c r="L582" s="3" t="s">
        <v>995</v>
      </c>
      <c r="M582" s="3"/>
      <c r="N582" s="1"/>
    </row>
    <row r="583" spans="1:14" x14ac:dyDescent="0.2">
      <c r="A583" s="1"/>
      <c r="B583" s="81" t="s">
        <v>895</v>
      </c>
      <c r="C583" s="1"/>
      <c r="D583" s="1"/>
      <c r="E583" s="1"/>
      <c r="F583" s="1"/>
      <c r="G583" s="1"/>
      <c r="H583" s="1"/>
      <c r="I583" s="1"/>
      <c r="J583" s="79" t="s">
        <v>995</v>
      </c>
      <c r="K583" s="1"/>
      <c r="L583" s="3"/>
      <c r="M583" s="5" t="s">
        <v>25</v>
      </c>
      <c r="N583" s="1"/>
    </row>
    <row r="584" spans="1:14" x14ac:dyDescent="0.2">
      <c r="A584" s="1"/>
      <c r="C584" s="1"/>
      <c r="D584" s="1"/>
      <c r="E584" s="1"/>
      <c r="G584" s="1"/>
      <c r="H584" s="1"/>
      <c r="I584" s="1"/>
      <c r="K584" s="1"/>
      <c r="L584" s="3"/>
      <c r="M584" s="5">
        <v>0</v>
      </c>
      <c r="N584" s="1"/>
    </row>
    <row r="585" spans="1:14" x14ac:dyDescent="0.2">
      <c r="A585" s="1"/>
      <c r="B585" s="82" t="s">
        <v>1033</v>
      </c>
      <c r="C585" s="318" t="s">
        <v>995</v>
      </c>
      <c r="D585" s="1"/>
      <c r="E585" s="1"/>
      <c r="F585" s="79"/>
      <c r="G585" s="1"/>
      <c r="H585" s="1"/>
      <c r="I585" s="1"/>
      <c r="J585" s="73" t="str">
        <f>IF(C585="x","Het juiste antwoord is:  B.","")</f>
        <v/>
      </c>
      <c r="K585" s="1"/>
      <c r="L585" s="3"/>
      <c r="M585" s="5">
        <v>0</v>
      </c>
      <c r="N585" s="1"/>
    </row>
    <row r="586" spans="1:14" x14ac:dyDescent="0.2">
      <c r="A586" s="1"/>
      <c r="B586" s="3" t="str">
        <f>IF(C585="x",J585,"")</f>
        <v/>
      </c>
      <c r="C586" s="1"/>
      <c r="D586" s="1"/>
      <c r="E586" s="1"/>
      <c r="F586" s="1"/>
      <c r="G586" s="1"/>
      <c r="H586" s="1"/>
      <c r="I586" s="1"/>
      <c r="J586" s="1"/>
      <c r="K586" s="1"/>
      <c r="L586" s="3"/>
      <c r="M586" s="1"/>
      <c r="N586" s="1"/>
    </row>
    <row r="587" spans="1:14" x14ac:dyDescent="0.2">
      <c r="A587" s="14"/>
      <c r="B587" s="14"/>
      <c r="C587" s="14"/>
      <c r="D587" s="180"/>
      <c r="E587" s="14"/>
      <c r="F587" s="14"/>
      <c r="G587" s="14"/>
      <c r="H587" s="14"/>
      <c r="I587" s="14"/>
      <c r="J587" s="1"/>
      <c r="K587" s="1"/>
      <c r="L587" s="3"/>
      <c r="M587" s="1"/>
      <c r="N587" s="1"/>
    </row>
    <row r="588" spans="1:14" x14ac:dyDescent="0.2">
      <c r="A588" s="1"/>
      <c r="B588" s="1"/>
      <c r="C588" s="1"/>
      <c r="D588" s="3" t="s">
        <v>1063</v>
      </c>
      <c r="E588" s="1"/>
      <c r="F588" s="1"/>
      <c r="G588" s="1"/>
      <c r="H588" s="1"/>
      <c r="I588" s="1"/>
      <c r="J588" s="1"/>
      <c r="K588" s="1"/>
      <c r="L588" s="3"/>
      <c r="M588" s="1"/>
      <c r="N588" s="1"/>
    </row>
    <row r="589" spans="1:14" x14ac:dyDescent="0.2">
      <c r="A589" s="67" t="s">
        <v>1067</v>
      </c>
      <c r="B589" s="1" t="s">
        <v>1065</v>
      </c>
      <c r="C589" s="1"/>
      <c r="D589" s="1"/>
      <c r="E589" s="1"/>
      <c r="F589" s="1"/>
      <c r="G589" s="1"/>
      <c r="H589" s="1"/>
      <c r="I589" s="1"/>
      <c r="J589" s="5" t="e">
        <f>SEARCH("Waarden",F594)</f>
        <v>#VALUE!</v>
      </c>
      <c r="K589" s="1"/>
      <c r="L589" s="3"/>
      <c r="M589" s="1"/>
      <c r="N589" s="1"/>
    </row>
    <row r="590" spans="1:14" x14ac:dyDescent="0.2">
      <c r="A590" s="1"/>
      <c r="B590" s="1" t="s">
        <v>2358</v>
      </c>
      <c r="C590" s="1"/>
      <c r="D590" s="1"/>
      <c r="E590" s="1"/>
      <c r="F590" s="3" t="s">
        <v>1059</v>
      </c>
      <c r="G590" s="1"/>
      <c r="I590" s="1"/>
      <c r="J590" s="5">
        <f>ABS(ISERR(J589))</f>
        <v>1</v>
      </c>
      <c r="K590" s="5">
        <f>ABS(IF(J590=0,"1","0"))</f>
        <v>0</v>
      </c>
      <c r="L590" s="3">
        <v>1</v>
      </c>
      <c r="M590" s="1"/>
      <c r="N590" s="1"/>
    </row>
    <row r="591" spans="1:14" x14ac:dyDescent="0.2">
      <c r="A591" s="1"/>
      <c r="B591" s="1" t="s">
        <v>1066</v>
      </c>
      <c r="C591" s="1"/>
      <c r="D591" s="1"/>
      <c r="E591" s="1"/>
      <c r="G591" s="1"/>
      <c r="H591" s="1"/>
      <c r="I591" s="1"/>
      <c r="J591" s="5" t="e">
        <f>SEARCH("overtuigingen",F594)</f>
        <v>#VALUE!</v>
      </c>
      <c r="K591" s="1"/>
      <c r="L591" s="3"/>
      <c r="M591" s="1"/>
      <c r="N591" s="1"/>
    </row>
    <row r="592" spans="1:14" x14ac:dyDescent="0.2">
      <c r="A592" s="1"/>
      <c r="B592" s="1"/>
      <c r="C592" s="1"/>
      <c r="D592" s="81" t="s">
        <v>1062</v>
      </c>
      <c r="E592" s="1"/>
      <c r="F592" s="3" t="s">
        <v>1060</v>
      </c>
      <c r="G592" s="1"/>
      <c r="H592" s="1"/>
      <c r="I592" s="1"/>
      <c r="J592" s="5">
        <f>ABS(ISERR(J591))</f>
        <v>1</v>
      </c>
      <c r="K592" s="5">
        <f>ABS(IF(J592=0,"1","0"))</f>
        <v>0</v>
      </c>
      <c r="L592" s="3"/>
      <c r="M592" s="1"/>
      <c r="N592" s="1"/>
    </row>
    <row r="593" spans="1:14" x14ac:dyDescent="0.2">
      <c r="A593" s="1"/>
      <c r="B593" s="1"/>
      <c r="C593" s="1"/>
      <c r="D593" s="1"/>
      <c r="E593" s="1"/>
      <c r="G593" s="1"/>
      <c r="H593" s="1"/>
      <c r="I593" s="1"/>
      <c r="J593" s="1"/>
      <c r="K593" s="1"/>
      <c r="L593" s="3"/>
      <c r="M593" s="1"/>
      <c r="N593" s="1"/>
    </row>
    <row r="594" spans="1:14" x14ac:dyDescent="0.2">
      <c r="A594" s="1"/>
      <c r="B594" s="82" t="s">
        <v>1033</v>
      </c>
      <c r="C594" s="318" t="s">
        <v>995</v>
      </c>
      <c r="D594" s="1"/>
      <c r="E594" s="1"/>
      <c r="F594" s="10" t="s">
        <v>995</v>
      </c>
      <c r="G594" s="1"/>
      <c r="H594" s="1"/>
      <c r="I594" s="1"/>
      <c r="J594" s="73" t="str">
        <f>IF(C594="x","Waarden, overtuigingen","")</f>
        <v/>
      </c>
      <c r="K594" s="1"/>
      <c r="L594" s="3"/>
      <c r="M594" s="1"/>
      <c r="N594" s="1"/>
    </row>
    <row r="595" spans="1:14" x14ac:dyDescent="0.2">
      <c r="A595" s="1"/>
      <c r="B595" s="3" t="str">
        <f>IF(C594="x",J594,"")</f>
        <v/>
      </c>
      <c r="C595" s="1"/>
      <c r="D595" s="1"/>
      <c r="E595" s="1"/>
      <c r="F595" s="1"/>
      <c r="G595" s="1"/>
      <c r="H595" s="1"/>
      <c r="I595" s="1"/>
      <c r="J595" s="1"/>
      <c r="K595" s="1"/>
      <c r="L595" s="3"/>
      <c r="M595" s="1"/>
      <c r="N595" s="1"/>
    </row>
    <row r="596" spans="1:14" x14ac:dyDescent="0.2">
      <c r="A596" s="1"/>
      <c r="B596" s="1"/>
      <c r="C596" s="1"/>
      <c r="D596" s="1"/>
      <c r="E596" s="1"/>
      <c r="F596" s="243" t="s">
        <v>1061</v>
      </c>
      <c r="G596" s="1"/>
      <c r="H596" s="1"/>
      <c r="I596" s="1"/>
      <c r="J596" s="1"/>
      <c r="K596" s="1"/>
      <c r="L596" s="3"/>
      <c r="M596" s="1"/>
      <c r="N596" s="1"/>
    </row>
    <row r="597" spans="1:14" x14ac:dyDescent="0.2">
      <c r="A597" s="1"/>
      <c r="B597" s="1"/>
      <c r="D597" s="3" t="s">
        <v>1064</v>
      </c>
      <c r="E597" s="1"/>
      <c r="F597" s="1"/>
      <c r="G597" s="1"/>
      <c r="H597" s="1"/>
      <c r="I597" s="1"/>
      <c r="J597" s="1"/>
      <c r="K597" s="1"/>
      <c r="L597" s="3"/>
      <c r="M597" s="1"/>
      <c r="N597" s="1"/>
    </row>
    <row r="598" spans="1:14" x14ac:dyDescent="0.2">
      <c r="A598" s="1"/>
      <c r="B598" s="1"/>
      <c r="C598" s="1"/>
      <c r="D598" s="1"/>
      <c r="E598" s="1"/>
      <c r="F598" s="1"/>
      <c r="G598" s="1"/>
      <c r="H598" s="1"/>
      <c r="I598" s="1"/>
      <c r="J598" s="1"/>
      <c r="K598" s="1"/>
      <c r="L598" s="3"/>
      <c r="M598" s="1"/>
      <c r="N598" s="1"/>
    </row>
    <row r="599" spans="1:14" x14ac:dyDescent="0.2">
      <c r="A599" s="14"/>
      <c r="B599" s="14"/>
      <c r="C599" s="14"/>
      <c r="D599" s="180"/>
      <c r="E599" s="14"/>
      <c r="F599" s="14"/>
      <c r="G599" s="14"/>
      <c r="H599" s="14"/>
      <c r="I599" s="14"/>
      <c r="J599" s="1"/>
      <c r="K599" s="1"/>
      <c r="L599" s="3"/>
      <c r="M599" s="1"/>
      <c r="N599" s="1"/>
    </row>
    <row r="600" spans="1:14" x14ac:dyDescent="0.2">
      <c r="A600" s="1"/>
      <c r="B600" s="1"/>
      <c r="C600" s="1"/>
      <c r="D600" s="1"/>
      <c r="E600" s="1"/>
      <c r="F600" s="1"/>
      <c r="G600" s="1"/>
      <c r="H600" s="1"/>
      <c r="I600" s="1"/>
      <c r="J600" s="5" t="e">
        <f>SEARCH("kennis",F602)</f>
        <v>#VALUE!</v>
      </c>
      <c r="K600" s="1"/>
      <c r="L600" s="3"/>
      <c r="M600" s="1"/>
      <c r="N600" s="1"/>
    </row>
    <row r="601" spans="1:14" x14ac:dyDescent="0.2">
      <c r="A601" s="67" t="s">
        <v>1076</v>
      </c>
      <c r="B601" s="1" t="s">
        <v>1070</v>
      </c>
      <c r="C601" s="1"/>
      <c r="D601" s="1"/>
      <c r="E601" s="1"/>
      <c r="F601" s="1"/>
      <c r="G601" s="1"/>
      <c r="H601" s="1"/>
      <c r="I601" s="1"/>
      <c r="J601" s="5">
        <f>ABS(ISERR(J600))</f>
        <v>1</v>
      </c>
      <c r="K601" s="5">
        <f>ABS(IF(J601=0,"1","0"))</f>
        <v>0</v>
      </c>
      <c r="L601" s="3">
        <v>1</v>
      </c>
      <c r="M601" s="1"/>
      <c r="N601" s="1"/>
    </row>
    <row r="602" spans="1:14" x14ac:dyDescent="0.2">
      <c r="A602" s="1"/>
      <c r="B602" s="171" t="s">
        <v>1068</v>
      </c>
      <c r="C602" s="1"/>
      <c r="D602" s="1"/>
      <c r="E602" s="1" t="s">
        <v>1073</v>
      </c>
      <c r="F602" s="10" t="s">
        <v>995</v>
      </c>
      <c r="G602" s="1"/>
      <c r="H602" s="1"/>
      <c r="I602" s="1"/>
      <c r="J602" s="5" t="e">
        <f>SEARCH("vaardigheden",F602)</f>
        <v>#VALUE!</v>
      </c>
      <c r="K602" s="1"/>
      <c r="L602" s="3"/>
      <c r="M602" s="1"/>
      <c r="N602" s="1"/>
    </row>
    <row r="603" spans="1:14" x14ac:dyDescent="0.2">
      <c r="A603" s="1"/>
      <c r="B603" s="339" t="s">
        <v>2359</v>
      </c>
      <c r="C603" s="1"/>
      <c r="D603" s="1"/>
      <c r="E603" s="1" t="s">
        <v>1074</v>
      </c>
      <c r="F603" s="10" t="s">
        <v>995</v>
      </c>
      <c r="G603" s="1"/>
      <c r="H603" s="1"/>
      <c r="I603" s="1"/>
      <c r="J603" s="5">
        <f>ABS(ISERR(J602))</f>
        <v>1</v>
      </c>
      <c r="K603" s="5">
        <f>ABS(IF(J603=0,"1","0"))</f>
        <v>0</v>
      </c>
      <c r="L603" s="3" t="s">
        <v>995</v>
      </c>
      <c r="M603" s="1"/>
      <c r="N603" s="1"/>
    </row>
    <row r="604" spans="1:14" x14ac:dyDescent="0.2">
      <c r="A604" s="1"/>
      <c r="B604" s="1" t="s">
        <v>1069</v>
      </c>
      <c r="C604" s="1"/>
      <c r="D604" s="1"/>
      <c r="E604" s="1"/>
      <c r="F604" s="1"/>
      <c r="G604" s="1"/>
      <c r="H604" s="1"/>
      <c r="I604" s="1"/>
      <c r="J604" s="5" t="e">
        <f>SEARCH("kennis",F603)</f>
        <v>#VALUE!</v>
      </c>
      <c r="K604" s="1"/>
      <c r="L604" s="3"/>
      <c r="M604" s="1"/>
      <c r="N604" s="1"/>
    </row>
    <row r="605" spans="1:14" x14ac:dyDescent="0.2">
      <c r="A605" s="1"/>
      <c r="B605" s="1" t="s">
        <v>2360</v>
      </c>
      <c r="C605" s="1"/>
      <c r="D605" s="1"/>
      <c r="F605" s="1"/>
      <c r="G605" s="1"/>
      <c r="H605" s="1"/>
      <c r="I605" s="1"/>
      <c r="J605" s="5">
        <f>ABS(ISERR(J604))</f>
        <v>1</v>
      </c>
      <c r="K605" s="5">
        <f>ABS(IF(J605=0,"1","0"))</f>
        <v>0</v>
      </c>
      <c r="L605" s="3">
        <v>1</v>
      </c>
      <c r="M605" s="1"/>
      <c r="N605" s="1"/>
    </row>
    <row r="606" spans="1:14" x14ac:dyDescent="0.2">
      <c r="A606" s="1"/>
      <c r="B606" s="1" t="s">
        <v>1071</v>
      </c>
      <c r="C606" s="1"/>
      <c r="D606" s="1"/>
      <c r="E606" s="1"/>
      <c r="F606" s="1"/>
      <c r="G606" s="1"/>
      <c r="H606" s="1"/>
      <c r="I606" s="1"/>
      <c r="J606" s="5" t="e">
        <f>SEARCH("vaardigheden",F603)</f>
        <v>#VALUE!</v>
      </c>
      <c r="K606" s="1"/>
      <c r="L606" s="3"/>
      <c r="M606" s="1"/>
      <c r="N606" s="1"/>
    </row>
    <row r="607" spans="1:14" x14ac:dyDescent="0.2">
      <c r="A607" s="1"/>
      <c r="B607" s="1" t="s">
        <v>1072</v>
      </c>
      <c r="C607" s="1"/>
      <c r="D607" s="1"/>
      <c r="E607" s="1"/>
      <c r="F607" s="1"/>
      <c r="G607" s="1"/>
      <c r="H607" s="1"/>
      <c r="I607" s="1"/>
      <c r="J607" s="5">
        <f>ABS(ISERR(J606))</f>
        <v>1</v>
      </c>
      <c r="K607" s="5">
        <f>ABS(IF(J607=0,"1","0"))</f>
        <v>0</v>
      </c>
      <c r="L607" s="3"/>
      <c r="M607" s="1"/>
      <c r="N607" s="1"/>
    </row>
    <row r="608" spans="1:14" x14ac:dyDescent="0.2">
      <c r="A608" s="1"/>
      <c r="B608" s="1"/>
      <c r="C608" s="1"/>
      <c r="D608" s="1"/>
      <c r="E608" s="1"/>
      <c r="F608" s="1"/>
      <c r="G608" s="1"/>
      <c r="H608" s="1"/>
      <c r="I608" s="1"/>
      <c r="J608" s="1"/>
      <c r="K608" s="1"/>
      <c r="L608" s="3"/>
      <c r="M608" s="1"/>
      <c r="N608" s="1"/>
    </row>
    <row r="609" spans="1:14" x14ac:dyDescent="0.2">
      <c r="A609" s="1"/>
      <c r="B609" s="82" t="s">
        <v>1033</v>
      </c>
      <c r="C609" s="318" t="s">
        <v>995</v>
      </c>
      <c r="D609" s="1"/>
      <c r="E609" s="1"/>
      <c r="F609" s="1"/>
      <c r="G609" s="1"/>
      <c r="H609" s="1"/>
      <c r="I609" s="1"/>
      <c r="J609" s="73" t="str">
        <f>IF(C609="x","Kennis + vaardigheden","")</f>
        <v/>
      </c>
      <c r="K609" s="1"/>
      <c r="L609" s="3"/>
      <c r="M609" s="1"/>
      <c r="N609" s="1"/>
    </row>
    <row r="610" spans="1:14" x14ac:dyDescent="0.2">
      <c r="A610" s="1"/>
      <c r="B610" s="3" t="str">
        <f>IF(C609="x",J609,"")</f>
        <v/>
      </c>
      <c r="C610" s="1"/>
      <c r="D610" s="1"/>
      <c r="E610" s="1"/>
      <c r="F610" s="1"/>
      <c r="G610" s="1"/>
      <c r="H610" s="1"/>
      <c r="I610" s="1"/>
      <c r="J610" s="1"/>
      <c r="K610" s="1"/>
      <c r="L610" s="3"/>
      <c r="M610" s="1"/>
      <c r="N610" s="1"/>
    </row>
    <row r="611" spans="1:14" x14ac:dyDescent="0.2">
      <c r="A611" s="14"/>
      <c r="B611" s="14"/>
      <c r="C611" s="14"/>
      <c r="D611" s="180"/>
      <c r="E611" s="14"/>
      <c r="F611" s="14"/>
      <c r="G611" s="14"/>
      <c r="H611" s="14"/>
      <c r="I611" s="14"/>
      <c r="J611" s="1"/>
      <c r="K611" s="1"/>
      <c r="L611" s="3"/>
      <c r="M611" s="1"/>
      <c r="N611" s="1"/>
    </row>
    <row r="612" spans="1:14" x14ac:dyDescent="0.2">
      <c r="A612" s="1"/>
      <c r="B612" s="1"/>
      <c r="C612" s="1"/>
      <c r="D612" s="1"/>
      <c r="E612" s="1"/>
      <c r="F612" s="1"/>
      <c r="G612" s="1"/>
      <c r="H612" s="1"/>
      <c r="I612" s="1"/>
      <c r="J612" s="1"/>
      <c r="K612" s="1"/>
      <c r="L612" s="3"/>
      <c r="M612" s="1"/>
      <c r="N612" s="1"/>
    </row>
    <row r="613" spans="1:14" ht="26.25" thickBot="1" x14ac:dyDescent="0.25">
      <c r="A613" s="67" t="s">
        <v>231</v>
      </c>
      <c r="B613" s="103" t="s">
        <v>2361</v>
      </c>
      <c r="C613" s="102" t="s">
        <v>446</v>
      </c>
      <c r="D613" s="102" t="s">
        <v>1623</v>
      </c>
      <c r="E613" s="526" t="s">
        <v>2119</v>
      </c>
      <c r="F613" s="527" t="s">
        <v>2120</v>
      </c>
      <c r="G613" s="1"/>
      <c r="H613" s="1"/>
      <c r="I613" s="1"/>
      <c r="J613" s="1"/>
      <c r="K613" s="1"/>
      <c r="L613" s="3"/>
      <c r="M613" s="1"/>
      <c r="N613" s="1"/>
    </row>
    <row r="614" spans="1:14" ht="13.35" customHeight="1" thickTop="1" x14ac:dyDescent="0.2">
      <c r="A614" s="1"/>
      <c r="B614" s="200" t="s">
        <v>2362</v>
      </c>
      <c r="C614" s="425" t="s">
        <v>995</v>
      </c>
      <c r="D614" s="425" t="s">
        <v>995</v>
      </c>
      <c r="E614" s="425" t="s">
        <v>995</v>
      </c>
      <c r="F614" s="425" t="s">
        <v>995</v>
      </c>
      <c r="G614" s="1"/>
      <c r="H614" s="1"/>
      <c r="I614" s="1"/>
      <c r="J614" s="5" t="str">
        <f>IF(C614="x","JUIST","")</f>
        <v/>
      </c>
      <c r="K614" s="5">
        <f>ABS(IF(J614="JUIST","1","0"))</f>
        <v>0</v>
      </c>
      <c r="L614" s="3">
        <v>1</v>
      </c>
      <c r="M614" s="1"/>
      <c r="N614" s="1"/>
    </row>
    <row r="615" spans="1:14" x14ac:dyDescent="0.2">
      <c r="A615" s="1"/>
      <c r="B615" s="61" t="s">
        <v>2363</v>
      </c>
      <c r="C615" s="3" t="s">
        <v>475</v>
      </c>
      <c r="D615" s="3" t="s">
        <v>476</v>
      </c>
      <c r="E615" s="3" t="s">
        <v>477</v>
      </c>
      <c r="F615" s="3" t="s">
        <v>478</v>
      </c>
      <c r="G615" s="1"/>
      <c r="H615" s="1"/>
      <c r="I615" s="1"/>
      <c r="J615" s="5" t="str">
        <f>IF(D614="x","FOUT","")</f>
        <v/>
      </c>
      <c r="K615" s="5">
        <f>ABS(IF(J615="JUIST","1","0"))</f>
        <v>0</v>
      </c>
      <c r="L615" s="3" t="s">
        <v>995</v>
      </c>
      <c r="M615" s="1"/>
      <c r="N615" s="1"/>
    </row>
    <row r="616" spans="1:14" x14ac:dyDescent="0.2">
      <c r="A616" s="1"/>
      <c r="B616" s="67" t="s">
        <v>2364</v>
      </c>
      <c r="C616" s="3"/>
      <c r="D616" s="3"/>
      <c r="E616" s="3"/>
      <c r="F616" s="3"/>
      <c r="G616" s="1"/>
      <c r="H616" s="1"/>
      <c r="I616" s="1"/>
      <c r="J616" s="5" t="str">
        <f>IF(E614="x","FOUT","")</f>
        <v/>
      </c>
      <c r="K616" s="5">
        <f>ABS(IF(J616="JUIST","1","0"))</f>
        <v>0</v>
      </c>
      <c r="L616" s="3" t="s">
        <v>995</v>
      </c>
      <c r="M616" s="1"/>
      <c r="N616" s="1"/>
    </row>
    <row r="617" spans="1:14" x14ac:dyDescent="0.2">
      <c r="A617" s="1"/>
      <c r="B617" s="1" t="s">
        <v>995</v>
      </c>
      <c r="C617" s="1"/>
      <c r="D617" s="1"/>
      <c r="E617" s="1"/>
      <c r="F617" s="1"/>
      <c r="G617" s="1"/>
      <c r="H617" s="1"/>
      <c r="I617" s="1"/>
      <c r="J617" s="5" t="str">
        <f>IF(F614="x","FOUT","")</f>
        <v/>
      </c>
      <c r="K617" s="5">
        <f>ABS(IF(J617="JUIST","1","0"))</f>
        <v>0</v>
      </c>
      <c r="L617" s="3">
        <v>0</v>
      </c>
      <c r="M617" s="1"/>
      <c r="N617" s="1"/>
    </row>
    <row r="618" spans="1:14" x14ac:dyDescent="0.2">
      <c r="A618" s="1"/>
      <c r="B618" s="80" t="s">
        <v>333</v>
      </c>
      <c r="C618" s="1"/>
      <c r="D618" s="1"/>
      <c r="E618" s="561" t="s">
        <v>1075</v>
      </c>
      <c r="F618" s="1"/>
      <c r="G618" s="1"/>
      <c r="H618" s="1"/>
      <c r="I618" s="1"/>
      <c r="J618" s="1"/>
      <c r="L618" s="3" t="s">
        <v>995</v>
      </c>
      <c r="M618" s="1"/>
      <c r="N618" s="1"/>
    </row>
    <row r="619" spans="1:14" x14ac:dyDescent="0.2">
      <c r="A619" s="1"/>
      <c r="B619" s="81" t="s">
        <v>895</v>
      </c>
      <c r="C619" s="1"/>
      <c r="D619" s="1"/>
      <c r="E619" s="1"/>
      <c r="F619" s="1"/>
      <c r="G619" s="1"/>
      <c r="H619" s="1"/>
      <c r="I619" s="1"/>
      <c r="J619" s="79" t="s">
        <v>995</v>
      </c>
      <c r="K619" s="1"/>
      <c r="L619" s="3"/>
      <c r="M619" s="1"/>
      <c r="N619" s="1"/>
    </row>
    <row r="620" spans="1:14" x14ac:dyDescent="0.2">
      <c r="A620" s="1"/>
      <c r="C620" s="1"/>
      <c r="D620" s="1"/>
      <c r="E620" s="1"/>
      <c r="G620" s="1"/>
      <c r="H620" s="1"/>
      <c r="I620" s="1"/>
      <c r="K620" s="1"/>
      <c r="L620" s="3"/>
      <c r="M620" s="1"/>
      <c r="N620" s="1"/>
    </row>
    <row r="621" spans="1:14" x14ac:dyDescent="0.2">
      <c r="A621" s="1"/>
      <c r="B621" s="82" t="s">
        <v>1033</v>
      </c>
      <c r="C621" s="318" t="s">
        <v>995</v>
      </c>
      <c r="D621" s="1"/>
      <c r="E621" s="1"/>
      <c r="F621" s="79"/>
      <c r="G621" s="1"/>
      <c r="H621" s="1"/>
      <c r="I621" s="1"/>
      <c r="J621" s="73" t="str">
        <f>IF(C621="x","Het juiste antwoord is:  A.","")</f>
        <v/>
      </c>
      <c r="K621" s="1"/>
      <c r="L621" s="3"/>
      <c r="M621" s="1"/>
      <c r="N621" s="1"/>
    </row>
    <row r="622" spans="1:14" x14ac:dyDescent="0.2">
      <c r="A622" s="1"/>
      <c r="B622" s="3" t="str">
        <f>IF(C621="x",J621,"")</f>
        <v/>
      </c>
      <c r="C622" s="1"/>
      <c r="D622" s="1"/>
      <c r="E622" s="1"/>
      <c r="F622" s="1"/>
      <c r="G622" s="1"/>
      <c r="H622" s="1"/>
      <c r="I622" s="1"/>
      <c r="J622" s="1"/>
      <c r="K622" s="1"/>
      <c r="L622" s="3"/>
      <c r="M622" s="1"/>
      <c r="N622" s="1"/>
    </row>
    <row r="623" spans="1:14" x14ac:dyDescent="0.2">
      <c r="A623" s="14"/>
      <c r="B623" s="14"/>
      <c r="C623" s="14"/>
      <c r="D623" s="180"/>
      <c r="E623" s="14"/>
      <c r="F623" s="14"/>
      <c r="G623" s="14"/>
      <c r="H623" s="14"/>
      <c r="I623" s="14"/>
      <c r="J623" s="1"/>
      <c r="K623" s="1"/>
      <c r="L623" s="3"/>
      <c r="M623" s="1"/>
      <c r="N623" s="1"/>
    </row>
    <row r="624" spans="1:14" x14ac:dyDescent="0.2">
      <c r="A624" s="1"/>
      <c r="B624" s="1"/>
      <c r="C624" s="1"/>
      <c r="D624" s="1"/>
      <c r="E624" s="1"/>
      <c r="F624" s="1"/>
      <c r="G624" s="1"/>
      <c r="H624" s="1"/>
      <c r="I624" s="1"/>
      <c r="J624" s="5" t="e">
        <f>SEARCH("integ",G626)</f>
        <v>#VALUE!</v>
      </c>
      <c r="K624" s="1"/>
      <c r="L624" s="3"/>
      <c r="M624" s="1"/>
      <c r="N624" s="1"/>
    </row>
    <row r="625" spans="1:14" x14ac:dyDescent="0.2">
      <c r="A625" s="67" t="s">
        <v>239</v>
      </c>
      <c r="B625" s="67" t="s">
        <v>232</v>
      </c>
      <c r="C625" s="1"/>
      <c r="D625" s="338" t="s">
        <v>236</v>
      </c>
      <c r="E625" s="6"/>
      <c r="G625" s="338" t="s">
        <v>238</v>
      </c>
      <c r="H625" s="1"/>
      <c r="I625" s="1"/>
      <c r="J625" s="5">
        <f>ABS(ISERR(J624))</f>
        <v>1</v>
      </c>
      <c r="K625" s="5">
        <f>ABS(IF(J625=0,"1","0"))</f>
        <v>0</v>
      </c>
      <c r="L625" s="3"/>
      <c r="M625" s="1"/>
      <c r="N625" s="1"/>
    </row>
    <row r="626" spans="1:14" x14ac:dyDescent="0.2">
      <c r="A626" s="1"/>
      <c r="B626" s="67" t="s">
        <v>233</v>
      </c>
      <c r="C626" s="1"/>
      <c r="D626" s="6" t="s">
        <v>237</v>
      </c>
      <c r="E626" s="6"/>
      <c r="F626" s="1"/>
      <c r="G626" s="10" t="s">
        <v>995</v>
      </c>
      <c r="H626" s="1"/>
      <c r="I626" s="1"/>
      <c r="J626" s="5" t="e">
        <f>SEARCH("betrouwbaar",G626)</f>
        <v>#VALUE!</v>
      </c>
      <c r="K626" s="1"/>
      <c r="L626" s="3"/>
      <c r="M626" s="1"/>
      <c r="N626" s="1"/>
    </row>
    <row r="627" spans="1:14" x14ac:dyDescent="0.2">
      <c r="A627" s="1"/>
      <c r="B627" s="67" t="s">
        <v>234</v>
      </c>
      <c r="C627" s="1"/>
      <c r="D627" s="1"/>
      <c r="E627" s="1"/>
      <c r="F627" s="1"/>
      <c r="G627" s="1"/>
      <c r="H627" s="1"/>
      <c r="I627" s="1"/>
      <c r="J627" s="5">
        <f>ABS(ISERR(J626))</f>
        <v>1</v>
      </c>
      <c r="K627" s="5">
        <f>ABS(IF(J627=0,"1","0"))</f>
        <v>0</v>
      </c>
      <c r="L627" s="3"/>
      <c r="M627" s="1"/>
      <c r="N627" s="1"/>
    </row>
    <row r="628" spans="1:14" x14ac:dyDescent="0.2">
      <c r="A628" s="1"/>
      <c r="B628" s="1" t="s">
        <v>235</v>
      </c>
      <c r="C628" s="1"/>
      <c r="D628" s="1"/>
      <c r="E628" s="1"/>
      <c r="F628" s="1"/>
      <c r="G628" s="1"/>
      <c r="H628" s="1"/>
      <c r="I628" s="1"/>
      <c r="J628" s="5" t="e">
        <f>SEARCH("loya",G626)</f>
        <v>#VALUE!</v>
      </c>
      <c r="K628" s="1"/>
      <c r="L628" s="3"/>
      <c r="M628" s="1"/>
      <c r="N628" s="1"/>
    </row>
    <row r="629" spans="1:14" x14ac:dyDescent="0.2">
      <c r="A629" s="1"/>
      <c r="B629" s="1"/>
      <c r="C629" s="1"/>
      <c r="D629" s="1"/>
      <c r="E629" s="1"/>
      <c r="F629" s="1"/>
      <c r="G629" s="1"/>
      <c r="H629" s="1"/>
      <c r="I629" s="1"/>
      <c r="J629" s="5">
        <f>ABS(ISERR(J628))</f>
        <v>1</v>
      </c>
      <c r="K629" s="5">
        <f>ABS(IF(J629=0,"1","0"))</f>
        <v>0</v>
      </c>
      <c r="L629" s="3"/>
      <c r="M629" s="1"/>
      <c r="N629" s="1"/>
    </row>
    <row r="630" spans="1:14" x14ac:dyDescent="0.2">
      <c r="A630" s="1"/>
      <c r="B630" s="82" t="s">
        <v>1033</v>
      </c>
      <c r="C630" s="318" t="s">
        <v>995</v>
      </c>
      <c r="D630" s="1"/>
      <c r="E630" s="1"/>
      <c r="F630" s="1"/>
      <c r="G630" s="1"/>
      <c r="H630" s="1"/>
      <c r="I630" s="1"/>
      <c r="J630" s="1"/>
      <c r="K630" s="1"/>
      <c r="L630" s="3"/>
      <c r="M630" s="1"/>
      <c r="N630" s="1"/>
    </row>
    <row r="631" spans="1:14" x14ac:dyDescent="0.2">
      <c r="A631" s="1"/>
      <c r="B631" s="3" t="str">
        <f>IF(C630="x",J631,"")</f>
        <v/>
      </c>
      <c r="C631" s="1"/>
      <c r="D631" s="1"/>
      <c r="E631" s="1"/>
      <c r="F631" s="1"/>
      <c r="G631" s="1"/>
      <c r="H631" s="1"/>
      <c r="I631" s="1"/>
      <c r="J631" s="73" t="str">
        <f>IF(C630="x","Mogelijk: integriteit, betrouwbaarheid, loyaliteit.","")</f>
        <v/>
      </c>
      <c r="K631" s="1"/>
      <c r="L631" s="3"/>
      <c r="M631" s="1"/>
      <c r="N631" s="1"/>
    </row>
    <row r="632" spans="1:14" x14ac:dyDescent="0.2">
      <c r="A632" s="14"/>
      <c r="B632" s="14"/>
      <c r="C632" s="14"/>
      <c r="D632" s="180"/>
      <c r="E632" s="14"/>
      <c r="F632" s="14"/>
      <c r="G632" s="14"/>
      <c r="H632" s="14"/>
      <c r="I632" s="14"/>
      <c r="J632" s="1"/>
      <c r="K632" s="1"/>
      <c r="L632" s="3"/>
      <c r="M632" s="1"/>
      <c r="N632" s="1"/>
    </row>
    <row r="633" spans="1:14" x14ac:dyDescent="0.2">
      <c r="A633" s="1"/>
      <c r="B633" s="1"/>
      <c r="C633" s="1"/>
      <c r="D633" s="1"/>
      <c r="E633" s="1"/>
      <c r="F633" s="1"/>
      <c r="G633" s="1"/>
      <c r="H633" s="1"/>
      <c r="I633" s="1"/>
      <c r="J633" s="1"/>
      <c r="K633" s="1"/>
      <c r="L633" s="3"/>
      <c r="M633" s="1"/>
      <c r="N633" s="1"/>
    </row>
    <row r="634" spans="1:14" x14ac:dyDescent="0.2">
      <c r="A634" s="67" t="s">
        <v>249</v>
      </c>
      <c r="B634" s="67" t="s">
        <v>240</v>
      </c>
      <c r="C634" s="1"/>
      <c r="D634" s="1"/>
      <c r="E634" s="1"/>
      <c r="F634" s="1"/>
      <c r="G634" s="1"/>
      <c r="H634" s="1"/>
      <c r="I634" s="1"/>
      <c r="J634" s="1"/>
      <c r="K634" s="1"/>
      <c r="L634" s="3"/>
      <c r="M634" s="1"/>
      <c r="N634" s="1"/>
    </row>
    <row r="635" spans="1:14" x14ac:dyDescent="0.2">
      <c r="A635" s="1"/>
      <c r="B635" s="547" t="s">
        <v>241</v>
      </c>
      <c r="C635" s="1"/>
      <c r="D635" s="1"/>
      <c r="E635" s="1"/>
      <c r="F635" s="1"/>
      <c r="G635" s="1"/>
      <c r="H635" s="1"/>
      <c r="I635" s="1"/>
      <c r="J635" s="1"/>
      <c r="K635" s="1"/>
      <c r="L635" s="3"/>
      <c r="M635" s="1"/>
      <c r="N635" s="1"/>
    </row>
    <row r="636" spans="1:14" x14ac:dyDescent="0.2">
      <c r="A636" s="1"/>
      <c r="B636" s="67" t="s">
        <v>242</v>
      </c>
      <c r="C636" s="1"/>
      <c r="D636" s="1"/>
      <c r="E636" s="1"/>
      <c r="F636" s="1"/>
      <c r="G636" s="1"/>
      <c r="H636" s="1"/>
      <c r="I636" s="1"/>
      <c r="J636" s="1"/>
      <c r="K636" s="1"/>
      <c r="L636" s="3"/>
      <c r="M636" s="1"/>
      <c r="N636" s="1"/>
    </row>
    <row r="637" spans="1:14" x14ac:dyDescent="0.2">
      <c r="A637" s="1"/>
      <c r="B637" s="67" t="s">
        <v>2365</v>
      </c>
      <c r="C637" s="1"/>
      <c r="D637" s="1"/>
      <c r="E637" s="1"/>
      <c r="F637" s="1"/>
      <c r="G637" s="1"/>
      <c r="H637" s="1"/>
      <c r="I637" s="1"/>
      <c r="J637" s="1"/>
      <c r="K637" s="1"/>
      <c r="L637" s="3"/>
      <c r="M637" s="1"/>
      <c r="N637" s="1"/>
    </row>
    <row r="638" spans="1:14" x14ac:dyDescent="0.2">
      <c r="A638" s="1"/>
      <c r="B638" s="1" t="s">
        <v>248</v>
      </c>
      <c r="C638" s="1"/>
      <c r="D638" s="1"/>
      <c r="E638" s="1"/>
      <c r="F638" s="1"/>
      <c r="G638" s="1"/>
      <c r="H638" s="1"/>
      <c r="I638" s="1"/>
      <c r="J638" s="1"/>
      <c r="K638" s="1"/>
      <c r="L638" s="3"/>
      <c r="M638" s="1"/>
      <c r="N638" s="1"/>
    </row>
    <row r="639" spans="1:14" x14ac:dyDescent="0.2">
      <c r="B639" s="1"/>
      <c r="C639" s="1"/>
      <c r="D639" s="1"/>
      <c r="E639" s="1"/>
      <c r="F639" s="1"/>
      <c r="G639" s="1"/>
      <c r="H639" s="1"/>
      <c r="I639" s="1"/>
      <c r="J639" s="1"/>
      <c r="K639" s="1"/>
      <c r="L639" s="3"/>
      <c r="M639" s="1"/>
      <c r="N639" s="1"/>
    </row>
    <row r="640" spans="1:14" x14ac:dyDescent="0.2">
      <c r="A640" s="6" t="s">
        <v>999</v>
      </c>
      <c r="B640" s="6" t="s">
        <v>243</v>
      </c>
      <c r="C640" s="10" t="s">
        <v>995</v>
      </c>
      <c r="D640" s="1"/>
      <c r="E640" s="1"/>
      <c r="F640" s="1"/>
      <c r="G640" s="1"/>
      <c r="H640" s="1"/>
      <c r="I640" s="1"/>
      <c r="J640" s="6" t="str">
        <f>IF(C640="x","FOUT","")</f>
        <v/>
      </c>
      <c r="K640" s="6">
        <f t="shared" ref="K640:K645" si="1">IF(J640="JUIST",1,0)</f>
        <v>0</v>
      </c>
      <c r="L640" s="3"/>
      <c r="M640" s="1"/>
      <c r="N640" s="1"/>
    </row>
    <row r="641" spans="1:14" x14ac:dyDescent="0.2">
      <c r="A641" s="6" t="s">
        <v>1000</v>
      </c>
      <c r="B641" s="6" t="s">
        <v>2366</v>
      </c>
      <c r="C641" s="10" t="s">
        <v>995</v>
      </c>
      <c r="D641" s="1"/>
      <c r="E641" s="1"/>
      <c r="F641" s="1"/>
      <c r="G641" s="1"/>
      <c r="H641" s="1"/>
      <c r="I641" s="1"/>
      <c r="J641" s="6" t="str">
        <f>IF(C641="x","FOUT","")</f>
        <v/>
      </c>
      <c r="K641" s="6">
        <f t="shared" si="1"/>
        <v>0</v>
      </c>
      <c r="L641" s="3"/>
      <c r="M641" s="1"/>
      <c r="N641" s="1"/>
    </row>
    <row r="642" spans="1:14" x14ac:dyDescent="0.2">
      <c r="A642" s="6" t="s">
        <v>1001</v>
      </c>
      <c r="B642" s="6" t="s">
        <v>244</v>
      </c>
      <c r="C642" s="10" t="s">
        <v>995</v>
      </c>
      <c r="D642" s="1"/>
      <c r="E642" s="1"/>
      <c r="F642" s="1"/>
      <c r="G642" s="1"/>
      <c r="H642" s="1"/>
      <c r="I642" s="1"/>
      <c r="J642" s="6" t="str">
        <f>IF(C642="x","FOUT","")</f>
        <v/>
      </c>
      <c r="K642" s="6">
        <f t="shared" si="1"/>
        <v>0</v>
      </c>
      <c r="L642" s="3"/>
      <c r="M642" s="1"/>
      <c r="N642" s="1"/>
    </row>
    <row r="643" spans="1:14" x14ac:dyDescent="0.2">
      <c r="A643" s="6" t="s">
        <v>1002</v>
      </c>
      <c r="B643" s="6" t="s">
        <v>245</v>
      </c>
      <c r="C643" s="10" t="s">
        <v>995</v>
      </c>
      <c r="D643" s="1"/>
      <c r="E643" s="1"/>
      <c r="F643" s="1"/>
      <c r="G643" s="1"/>
      <c r="H643" s="1"/>
      <c r="I643" s="1"/>
      <c r="J643" s="6" t="str">
        <f>IF(C643="x","JUIST","")</f>
        <v/>
      </c>
      <c r="K643" s="6">
        <f t="shared" si="1"/>
        <v>0</v>
      </c>
      <c r="L643" s="3"/>
      <c r="M643" s="1"/>
      <c r="N643" s="1"/>
    </row>
    <row r="644" spans="1:14" x14ac:dyDescent="0.2">
      <c r="A644" s="6" t="s">
        <v>863</v>
      </c>
      <c r="B644" s="6" t="s">
        <v>246</v>
      </c>
      <c r="C644" s="10" t="s">
        <v>995</v>
      </c>
      <c r="D644" s="1"/>
      <c r="E644" s="1"/>
      <c r="F644" s="1"/>
      <c r="G644" s="1"/>
      <c r="H644" s="1"/>
      <c r="I644" s="1"/>
      <c r="J644" s="6" t="str">
        <f>IF(C644="x","FOUT","")</f>
        <v/>
      </c>
      <c r="K644" s="6">
        <f t="shared" si="1"/>
        <v>0</v>
      </c>
      <c r="L644" s="3"/>
      <c r="M644" s="1"/>
      <c r="N644" s="1"/>
    </row>
    <row r="645" spans="1:14" x14ac:dyDescent="0.2">
      <c r="A645" s="6" t="s">
        <v>1080</v>
      </c>
      <c r="B645" s="6" t="s">
        <v>247</v>
      </c>
      <c r="C645" s="10" t="s">
        <v>995</v>
      </c>
      <c r="D645" s="1"/>
      <c r="E645" s="1"/>
      <c r="F645" s="1"/>
      <c r="G645" s="1"/>
      <c r="H645" s="1"/>
      <c r="I645" s="1"/>
      <c r="J645" s="6" t="str">
        <f>IF(C645="x","FOUT","")</f>
        <v/>
      </c>
      <c r="K645" s="6">
        <f t="shared" si="1"/>
        <v>0</v>
      </c>
      <c r="L645" s="3"/>
      <c r="M645" s="1"/>
      <c r="N645" s="1"/>
    </row>
    <row r="646" spans="1:14" x14ac:dyDescent="0.2">
      <c r="A646" s="1"/>
      <c r="B646" s="1"/>
      <c r="C646" s="1"/>
      <c r="D646" s="1"/>
      <c r="E646" s="1"/>
      <c r="F646" s="1"/>
      <c r="G646" s="1"/>
      <c r="H646" s="1"/>
      <c r="I646" s="1"/>
      <c r="J646" s="1"/>
      <c r="K646" s="1"/>
      <c r="L646" s="3"/>
      <c r="M646" s="1"/>
      <c r="N646" s="1"/>
    </row>
    <row r="647" spans="1:14" x14ac:dyDescent="0.2">
      <c r="A647" s="1"/>
      <c r="B647" s="82" t="s">
        <v>1033</v>
      </c>
      <c r="C647" s="318" t="s">
        <v>995</v>
      </c>
      <c r="D647" s="1"/>
      <c r="E647" s="1"/>
      <c r="F647" s="1"/>
      <c r="G647" s="1"/>
      <c r="H647" s="1"/>
      <c r="I647" s="1"/>
      <c r="J647" s="1"/>
      <c r="K647" s="1"/>
      <c r="L647" s="3"/>
      <c r="M647" s="1"/>
      <c r="N647" s="1"/>
    </row>
    <row r="648" spans="1:14" x14ac:dyDescent="0.2">
      <c r="A648" s="1"/>
      <c r="B648" s="3" t="str">
        <f>IF(C647="x",J648,"")</f>
        <v/>
      </c>
      <c r="C648" s="1"/>
      <c r="D648" s="1"/>
      <c r="E648" s="1"/>
      <c r="F648" s="1"/>
      <c r="G648" s="1"/>
      <c r="H648" s="1"/>
      <c r="I648" s="1"/>
      <c r="J648" s="73" t="str">
        <f>IF(C647="x","Het juiste antwoord is: D.","")</f>
        <v/>
      </c>
      <c r="K648" s="1"/>
      <c r="L648" s="3"/>
      <c r="M648" s="1"/>
      <c r="N648" s="1"/>
    </row>
    <row r="649" spans="1:14" x14ac:dyDescent="0.2">
      <c r="A649" s="14"/>
      <c r="B649" s="14"/>
      <c r="C649" s="14"/>
      <c r="D649" s="180"/>
      <c r="E649" s="14"/>
      <c r="F649" s="14"/>
      <c r="G649" s="14"/>
      <c r="H649" s="14"/>
      <c r="I649" s="14"/>
      <c r="J649" s="1"/>
      <c r="K649" s="1"/>
      <c r="L649" s="3"/>
      <c r="M649" s="1"/>
      <c r="N649" s="1"/>
    </row>
    <row r="650" spans="1:14" x14ac:dyDescent="0.2">
      <c r="A650" s="1"/>
      <c r="B650" s="1"/>
      <c r="C650" s="1"/>
      <c r="D650" s="1"/>
      <c r="E650" s="1"/>
      <c r="F650" s="1"/>
      <c r="G650" s="1"/>
      <c r="H650" s="1"/>
      <c r="I650" s="1"/>
      <c r="J650" s="1"/>
      <c r="K650" s="1"/>
      <c r="L650" s="3"/>
      <c r="M650" s="1"/>
      <c r="N650" s="1"/>
    </row>
    <row r="651" spans="1:14" ht="26.25" thickBot="1" x14ac:dyDescent="0.25">
      <c r="A651" s="67" t="s">
        <v>252</v>
      </c>
      <c r="B651" s="103" t="s">
        <v>2367</v>
      </c>
      <c r="C651" s="102" t="s">
        <v>446</v>
      </c>
      <c r="D651" s="102" t="s">
        <v>1623</v>
      </c>
      <c r="E651" s="526" t="s">
        <v>2119</v>
      </c>
      <c r="F651" s="527" t="s">
        <v>2120</v>
      </c>
      <c r="G651" s="1"/>
      <c r="H651" s="1"/>
      <c r="I651" s="1"/>
      <c r="J651" s="1"/>
      <c r="K651" s="1"/>
      <c r="L651" s="3"/>
      <c r="M651" s="1"/>
      <c r="N651" s="1"/>
    </row>
    <row r="652" spans="1:14" ht="13.5" thickTop="1" x14ac:dyDescent="0.2">
      <c r="A652" s="1"/>
      <c r="B652" s="200" t="s">
        <v>250</v>
      </c>
      <c r="C652" s="425" t="s">
        <v>995</v>
      </c>
      <c r="D652" s="425" t="s">
        <v>995</v>
      </c>
      <c r="E652" s="425" t="s">
        <v>995</v>
      </c>
      <c r="F652" s="425" t="s">
        <v>995</v>
      </c>
      <c r="G652" s="1"/>
      <c r="H652" s="1"/>
      <c r="I652" s="1"/>
      <c r="J652" s="5" t="str">
        <f>IF(C652="x","FOUT","")</f>
        <v/>
      </c>
      <c r="K652" s="5">
        <f>ABS(IF(J652="JUIST","1","0"))</f>
        <v>0</v>
      </c>
      <c r="L652" s="3" t="s">
        <v>995</v>
      </c>
      <c r="M652" s="1"/>
      <c r="N652" s="1"/>
    </row>
    <row r="653" spans="1:14" x14ac:dyDescent="0.2">
      <c r="A653" s="1"/>
      <c r="B653" s="428" t="s">
        <v>2750</v>
      </c>
      <c r="C653" s="3" t="s">
        <v>475</v>
      </c>
      <c r="D653" s="3" t="s">
        <v>476</v>
      </c>
      <c r="E653" s="3" t="s">
        <v>477</v>
      </c>
      <c r="F653" s="3" t="s">
        <v>478</v>
      </c>
      <c r="G653" s="1"/>
      <c r="H653" s="1"/>
      <c r="I653" s="1"/>
      <c r="J653" s="5" t="str">
        <f>IF(D652="x","FOUT","")</f>
        <v/>
      </c>
      <c r="K653" s="5">
        <f>ABS(IF(J653="JUIST","1","0"))</f>
        <v>0</v>
      </c>
      <c r="L653" s="3"/>
      <c r="M653" s="1"/>
      <c r="N653" s="1"/>
    </row>
    <row r="654" spans="1:14" x14ac:dyDescent="0.2">
      <c r="A654" s="1"/>
      <c r="B654" s="200" t="s">
        <v>251</v>
      </c>
      <c r="C654" s="1"/>
      <c r="D654" s="1"/>
      <c r="E654" s="1"/>
      <c r="F654" s="1"/>
      <c r="G654" s="1"/>
      <c r="H654" s="1"/>
      <c r="I654" s="1"/>
      <c r="J654" s="5" t="str">
        <f>IF(E652="x","FOUT","")</f>
        <v/>
      </c>
      <c r="K654" s="5">
        <f>ABS(IF(J654="JUIST","1","0"))</f>
        <v>0</v>
      </c>
      <c r="L654" s="3"/>
      <c r="M654" s="1"/>
      <c r="N654" s="1"/>
    </row>
    <row r="655" spans="1:14" x14ac:dyDescent="0.2">
      <c r="A655" s="1"/>
      <c r="B655" s="61" t="s">
        <v>2368</v>
      </c>
      <c r="C655" s="1"/>
      <c r="D655" s="1"/>
      <c r="E655" s="1"/>
      <c r="F655" s="1"/>
      <c r="G655" s="1"/>
      <c r="H655" s="1"/>
      <c r="I655" s="1"/>
      <c r="J655" s="5" t="str">
        <f>IF(F652="x","JUIST","")</f>
        <v/>
      </c>
      <c r="K655" s="5">
        <f>ABS(IF(J655="JUIST","1","0"))</f>
        <v>0</v>
      </c>
      <c r="L655" s="3">
        <v>1</v>
      </c>
      <c r="M655" s="1"/>
      <c r="N655" s="1"/>
    </row>
    <row r="656" spans="1:14" x14ac:dyDescent="0.2">
      <c r="A656" s="1"/>
      <c r="B656" s="67" t="s">
        <v>2369</v>
      </c>
      <c r="C656" s="3"/>
      <c r="D656" s="3"/>
      <c r="E656" s="3"/>
      <c r="F656" s="3"/>
      <c r="G656" s="1"/>
      <c r="H656" s="1"/>
      <c r="I656" s="1"/>
      <c r="J656" s="1"/>
      <c r="K656" s="1"/>
      <c r="L656" s="3"/>
      <c r="M656" s="1"/>
      <c r="N656" s="1"/>
    </row>
    <row r="657" spans="1:14" x14ac:dyDescent="0.2">
      <c r="A657" s="1"/>
      <c r="C657" s="1"/>
      <c r="D657" s="1"/>
      <c r="E657" s="1"/>
      <c r="G657" s="1"/>
      <c r="H657" s="1"/>
      <c r="I657" s="1"/>
      <c r="K657" s="1"/>
      <c r="L657" s="3" t="s">
        <v>995</v>
      </c>
      <c r="M657" s="1"/>
      <c r="N657" s="1"/>
    </row>
    <row r="658" spans="1:14" x14ac:dyDescent="0.2">
      <c r="A658" s="1"/>
      <c r="B658" s="82" t="s">
        <v>1033</v>
      </c>
      <c r="C658" s="318" t="s">
        <v>995</v>
      </c>
      <c r="D658" s="1"/>
      <c r="E658" s="1"/>
      <c r="F658" s="79"/>
      <c r="G658" s="1"/>
      <c r="H658" s="1"/>
      <c r="I658" s="1"/>
      <c r="J658" s="73" t="str">
        <f>IF(C658="x","Het juiste antwoord is:  D.","")</f>
        <v/>
      </c>
      <c r="K658" s="1"/>
      <c r="L658" s="3"/>
      <c r="M658" s="1"/>
      <c r="N658" s="1"/>
    </row>
    <row r="659" spans="1:14" x14ac:dyDescent="0.2">
      <c r="A659" s="1"/>
      <c r="B659" s="3" t="str">
        <f>IF(C658="x",J658,"")</f>
        <v/>
      </c>
      <c r="C659" s="1"/>
      <c r="D659" s="1"/>
      <c r="E659" s="1"/>
      <c r="F659" s="1"/>
      <c r="G659" s="1"/>
      <c r="H659" s="1"/>
      <c r="I659" s="1"/>
      <c r="J659" s="1"/>
      <c r="K659" s="1"/>
      <c r="L659" s="3"/>
      <c r="M659" s="1"/>
      <c r="N659" s="1"/>
    </row>
    <row r="660" spans="1:14" x14ac:dyDescent="0.2">
      <c r="A660" s="14"/>
      <c r="B660" s="14"/>
      <c r="C660" s="14"/>
      <c r="D660" s="180"/>
      <c r="E660" s="14"/>
      <c r="F660" s="14"/>
      <c r="G660" s="14"/>
      <c r="H660" s="14"/>
      <c r="I660" s="14"/>
      <c r="J660" s="1"/>
      <c r="K660" s="1"/>
      <c r="L660" s="3"/>
      <c r="M660" s="1"/>
      <c r="N660" s="1"/>
    </row>
    <row r="661" spans="1:14" x14ac:dyDescent="0.2">
      <c r="A661" s="1"/>
      <c r="B661" s="1"/>
      <c r="C661" s="1"/>
      <c r="D661" s="1"/>
      <c r="E661" s="1"/>
      <c r="F661" s="1"/>
      <c r="G661" s="1"/>
      <c r="H661" s="1"/>
      <c r="I661" s="1"/>
      <c r="J661" s="5" t="e">
        <f>SEARCH("flexibiliteit",D666)</f>
        <v>#VALUE!</v>
      </c>
      <c r="K661" s="1"/>
      <c r="L661" s="3"/>
      <c r="M661" s="1"/>
      <c r="N661" s="1"/>
    </row>
    <row r="662" spans="1:14" x14ac:dyDescent="0.2">
      <c r="A662" s="67" t="s">
        <v>491</v>
      </c>
      <c r="B662" s="1" t="s">
        <v>2370</v>
      </c>
      <c r="C662" s="1"/>
      <c r="D662" s="67" t="s">
        <v>2751</v>
      </c>
      <c r="E662" s="1"/>
      <c r="F662" s="1"/>
      <c r="G662" s="1"/>
      <c r="H662" s="1"/>
      <c r="I662" s="1"/>
      <c r="J662" s="5">
        <f>ABS(ISERR(J661))</f>
        <v>1</v>
      </c>
      <c r="K662" s="5">
        <f>ABS(IF(J662=0,"1","0"))</f>
        <v>0</v>
      </c>
      <c r="L662" s="3">
        <v>1</v>
      </c>
      <c r="M662" s="1"/>
      <c r="N662" s="1"/>
    </row>
    <row r="663" spans="1:14" x14ac:dyDescent="0.2">
      <c r="A663" s="1"/>
      <c r="B663" s="1" t="s">
        <v>484</v>
      </c>
      <c r="C663" s="1"/>
      <c r="D663" s="1" t="s">
        <v>2371</v>
      </c>
      <c r="E663" s="1"/>
      <c r="G663" s="171" t="s">
        <v>492</v>
      </c>
      <c r="H663" s="1"/>
      <c r="I663" s="1"/>
      <c r="J663" s="5" t="e">
        <f>SEARCH("inzetbaarheid",D666)</f>
        <v>#VALUE!</v>
      </c>
      <c r="K663" s="1"/>
      <c r="L663" s="3"/>
      <c r="M663" s="1"/>
      <c r="N663" s="1"/>
    </row>
    <row r="664" spans="1:14" x14ac:dyDescent="0.2">
      <c r="A664" s="1"/>
      <c r="B664" s="1" t="s">
        <v>485</v>
      </c>
      <c r="C664" s="1"/>
      <c r="D664" s="1"/>
      <c r="E664" s="1"/>
      <c r="F664" s="1"/>
      <c r="G664" s="1"/>
      <c r="H664" s="1"/>
      <c r="I664" s="1"/>
      <c r="J664" s="5">
        <f>ABS(ISERR(J663))</f>
        <v>1</v>
      </c>
      <c r="K664" s="5">
        <f>ABS(IF(J664=0,"1","0"))</f>
        <v>0</v>
      </c>
      <c r="L664" s="3"/>
      <c r="M664" s="1"/>
      <c r="N664" s="1"/>
    </row>
    <row r="665" spans="1:14" x14ac:dyDescent="0.2">
      <c r="A665" s="1"/>
      <c r="B665" s="1" t="s">
        <v>486</v>
      </c>
      <c r="C665" s="1"/>
      <c r="D665" s="1" t="s">
        <v>489</v>
      </c>
      <c r="E665" s="1"/>
      <c r="F665" s="1"/>
      <c r="G665" s="1"/>
      <c r="H665" s="1"/>
      <c r="I665" s="1"/>
      <c r="J665" s="5" t="e">
        <f>SEARCH("veranderbereidheid",D666)</f>
        <v>#VALUE!</v>
      </c>
      <c r="K665" s="1"/>
      <c r="L665" s="3"/>
      <c r="M665" s="1"/>
      <c r="N665" s="1"/>
    </row>
    <row r="666" spans="1:14" x14ac:dyDescent="0.2">
      <c r="A666" s="1"/>
      <c r="B666" s="1" t="s">
        <v>487</v>
      </c>
      <c r="C666" s="1"/>
      <c r="D666" s="10" t="s">
        <v>995</v>
      </c>
      <c r="E666" s="1" t="s">
        <v>490</v>
      </c>
      <c r="F666" s="1"/>
      <c r="G666" s="1"/>
      <c r="H666" s="1"/>
      <c r="I666" s="1"/>
      <c r="J666" s="5">
        <f>ABS(ISERR(J665))</f>
        <v>1</v>
      </c>
      <c r="K666" s="5">
        <f>ABS(IF(J666=0,"0,5","0"))</f>
        <v>0</v>
      </c>
      <c r="L666" s="3"/>
      <c r="M666" s="1"/>
      <c r="N666" s="1"/>
    </row>
    <row r="667" spans="1:14" x14ac:dyDescent="0.2">
      <c r="A667" s="1"/>
      <c r="B667" s="1" t="s">
        <v>488</v>
      </c>
      <c r="C667" s="1"/>
      <c r="D667" s="1"/>
      <c r="E667" s="1"/>
      <c r="G667" s="1"/>
      <c r="H667" s="1"/>
      <c r="I667" s="1"/>
      <c r="J667" s="5" t="e">
        <f>SEARCH("verandervermogen",D668)</f>
        <v>#VALUE!</v>
      </c>
      <c r="K667" s="1"/>
      <c r="L667" s="3"/>
      <c r="M667" s="1"/>
      <c r="N667" s="1"/>
    </row>
    <row r="668" spans="1:14" x14ac:dyDescent="0.2">
      <c r="A668" s="1"/>
      <c r="B668" s="1"/>
      <c r="C668" s="1"/>
      <c r="D668" s="1"/>
      <c r="E668" s="1"/>
      <c r="F668" s="1"/>
      <c r="G668" s="1"/>
      <c r="H668" s="1"/>
      <c r="I668" s="1"/>
      <c r="J668" s="5">
        <f>ABS(ISERR(J667))</f>
        <v>1</v>
      </c>
      <c r="K668" s="5">
        <f>ABS(IF(J668=0,"0,5","0"))</f>
        <v>0</v>
      </c>
      <c r="L668" s="3"/>
      <c r="M668" s="1"/>
      <c r="N668" s="1"/>
    </row>
    <row r="669" spans="1:14" x14ac:dyDescent="0.2">
      <c r="A669" s="1"/>
      <c r="B669" s="82" t="s">
        <v>1033</v>
      </c>
      <c r="C669" s="318" t="s">
        <v>995</v>
      </c>
      <c r="D669" s="1"/>
      <c r="E669" s="1"/>
      <c r="F669" s="79"/>
      <c r="G669" s="1"/>
      <c r="H669" s="1"/>
      <c r="I669" s="1"/>
      <c r="K669" s="1"/>
      <c r="L669" s="3"/>
      <c r="M669" s="1"/>
      <c r="N669" s="1"/>
    </row>
    <row r="670" spans="1:14" x14ac:dyDescent="0.2">
      <c r="A670" s="1"/>
      <c r="B670" s="17" t="str">
        <f>IF(C669="x",J670,"")</f>
        <v/>
      </c>
      <c r="C670" s="1"/>
      <c r="D670" s="1"/>
      <c r="E670" s="1"/>
      <c r="F670" s="1"/>
      <c r="G670" s="1"/>
      <c r="H670" s="1"/>
      <c r="I670" s="1"/>
      <c r="J670" s="73" t="str">
        <f>IF(C669="x","Flexibiliteit, Inzetbaarheid, Veranderbereidheid (half), Verandervermogen (half).","")</f>
        <v/>
      </c>
      <c r="K670" s="1"/>
      <c r="L670" s="3"/>
      <c r="M670" s="1"/>
      <c r="N670" s="1"/>
    </row>
    <row r="671" spans="1:14" x14ac:dyDescent="0.2">
      <c r="A671" s="14"/>
      <c r="B671" s="14"/>
      <c r="C671" s="14"/>
      <c r="D671" s="180"/>
      <c r="E671" s="14"/>
      <c r="F671" s="14"/>
      <c r="G671" s="14"/>
      <c r="H671" s="14"/>
      <c r="I671" s="14"/>
      <c r="J671" s="1"/>
      <c r="K671" s="1"/>
      <c r="L671" s="3"/>
      <c r="M671" s="1"/>
      <c r="N671" s="1"/>
    </row>
    <row r="672" spans="1:14" x14ac:dyDescent="0.2">
      <c r="A672" s="1"/>
      <c r="B672" s="1"/>
      <c r="C672" s="1"/>
      <c r="D672" s="1"/>
      <c r="E672" s="1"/>
      <c r="F672" s="1"/>
      <c r="G672" s="1"/>
      <c r="H672" s="1"/>
      <c r="I672" s="1"/>
      <c r="J672" s="5" t="e">
        <f>SEARCH("roulatie",C676)</f>
        <v>#VALUE!</v>
      </c>
      <c r="K672" s="1"/>
      <c r="L672" s="3"/>
      <c r="M672" s="1"/>
      <c r="N672" s="1"/>
    </row>
    <row r="673" spans="1:14" x14ac:dyDescent="0.2">
      <c r="A673" s="67" t="s">
        <v>506</v>
      </c>
      <c r="B673" s="1" t="s">
        <v>2372</v>
      </c>
      <c r="C673" s="1"/>
      <c r="D673" s="1"/>
      <c r="E673" s="1"/>
      <c r="F673" s="1"/>
      <c r="G673" s="1"/>
      <c r="H673" s="1"/>
      <c r="I673" s="1"/>
      <c r="J673" s="5">
        <f>ABS(ISERR(J672))</f>
        <v>1</v>
      </c>
      <c r="K673" s="5">
        <f>ABS(IF(J673=0,"1","0"))</f>
        <v>0</v>
      </c>
      <c r="L673" s="3">
        <v>1</v>
      </c>
      <c r="M673" s="1" t="s">
        <v>505</v>
      </c>
      <c r="N673" s="1"/>
    </row>
    <row r="674" spans="1:14" ht="13.5" thickBot="1" x14ac:dyDescent="0.25">
      <c r="A674" s="1"/>
      <c r="B674" s="1" t="s">
        <v>493</v>
      </c>
      <c r="C674" s="1"/>
      <c r="D674" s="1"/>
      <c r="E674" s="1"/>
      <c r="F674" s="1"/>
      <c r="G674" s="1"/>
      <c r="H674" s="1"/>
      <c r="I674" s="1"/>
      <c r="J674" s="5" t="e">
        <f>SEARCH("verrijking",C678)</f>
        <v>#VALUE!</v>
      </c>
      <c r="K674" s="1"/>
      <c r="L674" s="3"/>
      <c r="M674" s="1"/>
      <c r="N674" s="1"/>
    </row>
    <row r="675" spans="1:14" ht="14.25" thickTop="1" thickBot="1" x14ac:dyDescent="0.25">
      <c r="A675" s="1"/>
      <c r="B675" s="1"/>
      <c r="C675" s="340" t="s">
        <v>498</v>
      </c>
      <c r="D675" s="342" t="s">
        <v>499</v>
      </c>
      <c r="E675" s="1"/>
      <c r="F675" s="1"/>
      <c r="G675" s="1"/>
      <c r="H675" s="1"/>
      <c r="I675" s="1"/>
      <c r="J675" s="5">
        <f>ABS(ISERR(J674))</f>
        <v>1</v>
      </c>
      <c r="K675" s="5">
        <f>ABS(IF(J675=0,"1","0"))</f>
        <v>0</v>
      </c>
      <c r="L675" s="3">
        <v>1</v>
      </c>
      <c r="M675" s="1" t="s">
        <v>501</v>
      </c>
      <c r="N675" s="1"/>
    </row>
    <row r="676" spans="1:14" ht="13.5" thickTop="1" x14ac:dyDescent="0.2">
      <c r="A676" s="6" t="s">
        <v>999</v>
      </c>
      <c r="B676" s="6" t="s">
        <v>494</v>
      </c>
      <c r="C676" s="341" t="s">
        <v>995</v>
      </c>
      <c r="D676" s="343" t="s">
        <v>995</v>
      </c>
      <c r="E676" s="1"/>
      <c r="F676" s="1"/>
      <c r="G676" s="1"/>
      <c r="H676" s="1"/>
      <c r="I676" s="1"/>
      <c r="J676" s="5" t="e">
        <f>SEARCH("verruiming",C680)</f>
        <v>#VALUE!</v>
      </c>
      <c r="K676" s="1"/>
      <c r="L676" s="3"/>
      <c r="M676" s="1"/>
      <c r="N676" s="1"/>
    </row>
    <row r="677" spans="1:14" x14ac:dyDescent="0.2">
      <c r="A677" s="54" t="s">
        <v>1000</v>
      </c>
      <c r="B677" s="589" t="s">
        <v>495</v>
      </c>
      <c r="C677" s="344" t="str">
        <f>IF(C683="x",M673,"")</f>
        <v/>
      </c>
      <c r="D677" s="345" t="str">
        <f>IF(C683="x",M679,"")</f>
        <v/>
      </c>
      <c r="E677" s="1"/>
      <c r="F677" s="1"/>
      <c r="G677" s="1"/>
      <c r="H677" s="1"/>
      <c r="I677" s="1"/>
      <c r="J677" s="5">
        <f>ABS(ISERR(J676))</f>
        <v>1</v>
      </c>
      <c r="K677" s="5">
        <f>ABS(IF(J677=0,"1","0"))</f>
        <v>0</v>
      </c>
      <c r="L677" s="3">
        <v>1</v>
      </c>
      <c r="M677" s="1" t="s">
        <v>500</v>
      </c>
      <c r="N677" s="1"/>
    </row>
    <row r="678" spans="1:14" x14ac:dyDescent="0.2">
      <c r="A678" s="28"/>
      <c r="B678" s="484" t="s">
        <v>496</v>
      </c>
      <c r="C678" s="152" t="s">
        <v>995</v>
      </c>
      <c r="D678" s="213" t="s">
        <v>995</v>
      </c>
      <c r="E678" s="1"/>
      <c r="F678" s="1"/>
      <c r="G678" s="1"/>
      <c r="H678" s="1"/>
      <c r="I678" s="1"/>
      <c r="J678" s="5" t="e">
        <f>SEARCH("roulation",D676)</f>
        <v>#VALUE!</v>
      </c>
      <c r="K678" s="1"/>
      <c r="L678" s="3"/>
      <c r="M678" s="1"/>
      <c r="N678" s="1"/>
    </row>
    <row r="679" spans="1:14" x14ac:dyDescent="0.2">
      <c r="A679" s="54" t="s">
        <v>1001</v>
      </c>
      <c r="B679" s="589" t="s">
        <v>495</v>
      </c>
      <c r="C679" s="344" t="str">
        <f>IF(C683="x",M675,"")</f>
        <v/>
      </c>
      <c r="D679" s="345" t="str">
        <f>IF(C683="x",M681,"")</f>
        <v/>
      </c>
      <c r="E679" s="1"/>
      <c r="F679" s="1"/>
      <c r="G679" s="1"/>
      <c r="H679" s="1"/>
      <c r="I679" s="1"/>
      <c r="J679" s="5">
        <f>ABS(ISERR(J678))</f>
        <v>1</v>
      </c>
      <c r="K679" s="5">
        <f>ABS(IF(J679=0,"1","0"))</f>
        <v>0</v>
      </c>
      <c r="L679" s="3">
        <v>1</v>
      </c>
      <c r="M679" s="1" t="s">
        <v>502</v>
      </c>
      <c r="N679" s="1"/>
    </row>
    <row r="680" spans="1:14" x14ac:dyDescent="0.2">
      <c r="A680" s="28"/>
      <c r="B680" s="484" t="s">
        <v>497</v>
      </c>
      <c r="C680" s="152" t="s">
        <v>995</v>
      </c>
      <c r="D680" s="213" t="s">
        <v>995</v>
      </c>
      <c r="E680" s="1"/>
      <c r="F680" s="1"/>
      <c r="G680" s="1"/>
      <c r="H680" s="1"/>
      <c r="I680" s="1"/>
      <c r="J680" s="5" t="e">
        <f>SEARCH("enrichment",D678)</f>
        <v>#VALUE!</v>
      </c>
      <c r="K680" s="1"/>
      <c r="L680" s="3"/>
      <c r="M680" s="1"/>
      <c r="N680" s="1"/>
    </row>
    <row r="681" spans="1:14" x14ac:dyDescent="0.2">
      <c r="A681" s="1"/>
      <c r="B681" s="1"/>
      <c r="C681" s="346" t="str">
        <f>IF(C683="x",M677,"")</f>
        <v/>
      </c>
      <c r="D681" s="124" t="str">
        <f>IF(C683="x",M683,"")</f>
        <v/>
      </c>
      <c r="E681" s="1"/>
      <c r="F681" s="1"/>
      <c r="G681" s="1"/>
      <c r="H681" s="1"/>
      <c r="I681" s="1"/>
      <c r="J681" s="5">
        <f>ABS(ISERR(J680))</f>
        <v>1</v>
      </c>
      <c r="K681" s="5">
        <f>ABS(IF(J681=0,"1","0"))</f>
        <v>0</v>
      </c>
      <c r="L681" s="3">
        <v>1</v>
      </c>
      <c r="M681" s="1" t="s">
        <v>503</v>
      </c>
      <c r="N681" s="1"/>
    </row>
    <row r="682" spans="1:14" x14ac:dyDescent="0.2">
      <c r="A682" s="1"/>
      <c r="B682" s="1"/>
      <c r="C682" s="1"/>
      <c r="D682" s="1"/>
      <c r="E682" s="1"/>
      <c r="F682" s="1"/>
      <c r="G682" s="1"/>
      <c r="H682" s="1"/>
      <c r="I682" s="1"/>
      <c r="J682" s="5" t="e">
        <f>SEARCH("enlargment",D680)</f>
        <v>#VALUE!</v>
      </c>
      <c r="K682" s="1"/>
      <c r="L682" s="3"/>
      <c r="M682" s="1"/>
      <c r="N682" s="1"/>
    </row>
    <row r="683" spans="1:14" x14ac:dyDescent="0.2">
      <c r="A683" s="1"/>
      <c r="B683" s="82" t="s">
        <v>1033</v>
      </c>
      <c r="C683" s="318" t="s">
        <v>995</v>
      </c>
      <c r="D683" s="1"/>
      <c r="E683" s="1"/>
      <c r="F683" s="1"/>
      <c r="G683" s="1"/>
      <c r="H683" s="1"/>
      <c r="I683" s="1"/>
      <c r="J683" s="5">
        <f>ABS(ISERR(J682))</f>
        <v>1</v>
      </c>
      <c r="K683" s="5">
        <f>ABS(IF(J683=0,"1","0"))</f>
        <v>0</v>
      </c>
      <c r="L683" s="3">
        <v>1</v>
      </c>
      <c r="M683" s="1" t="s">
        <v>504</v>
      </c>
      <c r="N683" s="1"/>
    </row>
    <row r="684" spans="1:14" x14ac:dyDescent="0.2">
      <c r="A684" s="1"/>
      <c r="C684" s="1"/>
      <c r="D684" s="1"/>
      <c r="E684" s="1"/>
      <c r="F684" s="79"/>
      <c r="G684" s="1"/>
      <c r="H684" s="1"/>
      <c r="I684" s="1"/>
      <c r="K684" s="1"/>
      <c r="L684" s="3"/>
      <c r="M684" s="1"/>
      <c r="N684" s="1"/>
    </row>
    <row r="685" spans="1:14" x14ac:dyDescent="0.2">
      <c r="A685" s="14"/>
      <c r="B685" s="14"/>
      <c r="C685" s="14"/>
      <c r="D685" s="180"/>
      <c r="E685" s="14"/>
      <c r="F685" s="14"/>
      <c r="G685" s="14"/>
      <c r="H685" s="14"/>
      <c r="I685" s="14"/>
      <c r="J685" s="1"/>
      <c r="K685" s="1"/>
      <c r="L685" s="3"/>
      <c r="M685" s="1"/>
      <c r="N685" s="1"/>
    </row>
    <row r="686" spans="1:14" x14ac:dyDescent="0.2">
      <c r="A686" s="1"/>
      <c r="B686" s="1"/>
      <c r="C686" s="1"/>
      <c r="D686" s="1"/>
      <c r="E686" s="1"/>
      <c r="F686" s="1"/>
      <c r="G686" s="1"/>
      <c r="H686" s="1"/>
      <c r="I686" s="1"/>
      <c r="J686" s="1"/>
      <c r="K686" s="1"/>
      <c r="L686" s="3"/>
      <c r="M686" s="1"/>
      <c r="N686" s="1"/>
    </row>
    <row r="687" spans="1:14" x14ac:dyDescent="0.2">
      <c r="A687" s="67" t="s">
        <v>683</v>
      </c>
      <c r="B687" s="67" t="s">
        <v>2713</v>
      </c>
      <c r="C687" s="1"/>
      <c r="E687" s="67" t="s">
        <v>995</v>
      </c>
      <c r="F687" s="1"/>
      <c r="G687" s="1"/>
      <c r="H687" s="1"/>
      <c r="I687" s="1"/>
      <c r="J687" s="5" t="e">
        <f>SEARCH("regelcapaciteit",E690)</f>
        <v>#VALUE!</v>
      </c>
      <c r="K687" s="1"/>
      <c r="L687" s="3"/>
      <c r="M687" s="1"/>
      <c r="N687" s="1"/>
    </row>
    <row r="688" spans="1:14" x14ac:dyDescent="0.2">
      <c r="A688" s="1"/>
      <c r="B688" s="67" t="s">
        <v>2711</v>
      </c>
      <c r="C688" s="1"/>
      <c r="D688" s="1"/>
      <c r="E688" s="67" t="s">
        <v>995</v>
      </c>
      <c r="F688" s="1"/>
      <c r="G688" s="1"/>
      <c r="H688" s="1"/>
      <c r="I688" s="1"/>
      <c r="J688" s="5">
        <f>ABS(ISERR(J687))</f>
        <v>1</v>
      </c>
      <c r="K688" s="5">
        <f>ABS(IF(J688=0,"1","0"))</f>
        <v>0</v>
      </c>
      <c r="L688" s="3">
        <v>1</v>
      </c>
      <c r="M688" s="1" t="s">
        <v>507</v>
      </c>
      <c r="N688" s="1"/>
    </row>
    <row r="689" spans="1:14" x14ac:dyDescent="0.2">
      <c r="A689" s="1"/>
      <c r="B689" s="67" t="s">
        <v>2714</v>
      </c>
      <c r="C689" s="1"/>
      <c r="D689" s="1"/>
      <c r="E689" s="1"/>
      <c r="F689" s="1"/>
      <c r="G689" s="1"/>
      <c r="H689" s="1"/>
      <c r="I689" s="1"/>
      <c r="J689" s="1"/>
      <c r="K689" s="1"/>
      <c r="L689" s="3"/>
      <c r="M689" s="1"/>
      <c r="N689" s="1"/>
    </row>
    <row r="690" spans="1:14" x14ac:dyDescent="0.2">
      <c r="A690" s="1"/>
      <c r="B690" s="67" t="s">
        <v>2712</v>
      </c>
      <c r="C690" s="1"/>
      <c r="D690" s="1"/>
      <c r="E690" s="10" t="s">
        <v>995</v>
      </c>
      <c r="F690" s="1"/>
      <c r="G690" s="1"/>
      <c r="H690" s="1"/>
      <c r="I690" s="1"/>
      <c r="J690" s="1"/>
      <c r="K690" s="1"/>
      <c r="L690" s="3"/>
      <c r="M690" s="1"/>
      <c r="N690" s="1"/>
    </row>
    <row r="691" spans="1:14" x14ac:dyDescent="0.2">
      <c r="A691" s="1"/>
      <c r="B691" s="67" t="s">
        <v>2715</v>
      </c>
      <c r="C691" s="1"/>
      <c r="D691" s="1"/>
      <c r="E691" s="1" t="str">
        <f>IF(C693="x",M688,"")</f>
        <v/>
      </c>
      <c r="F691" s="1"/>
      <c r="G691" s="1"/>
      <c r="H691" s="1"/>
      <c r="I691" s="1"/>
      <c r="J691" s="1"/>
      <c r="K691" s="1"/>
      <c r="L691" s="3"/>
      <c r="M691" s="1"/>
      <c r="N691" s="1"/>
    </row>
    <row r="692" spans="1:14" x14ac:dyDescent="0.2">
      <c r="A692" s="1"/>
      <c r="B692" s="1"/>
      <c r="C692" s="1"/>
      <c r="D692" s="1"/>
      <c r="E692" s="1"/>
      <c r="F692" s="1"/>
      <c r="G692" s="1"/>
      <c r="H692" s="1"/>
      <c r="I692" s="1"/>
      <c r="J692" s="1"/>
      <c r="K692" s="1"/>
      <c r="L692" s="3"/>
      <c r="M692" s="1"/>
      <c r="N692" s="1"/>
    </row>
    <row r="693" spans="1:14" x14ac:dyDescent="0.2">
      <c r="A693" s="1"/>
      <c r="B693" s="82" t="s">
        <v>1033</v>
      </c>
      <c r="C693" s="318" t="s">
        <v>995</v>
      </c>
      <c r="D693" s="1"/>
      <c r="E693" s="1"/>
      <c r="F693" s="1"/>
      <c r="G693" s="1"/>
      <c r="H693" s="1"/>
      <c r="I693" s="1"/>
      <c r="J693" s="1"/>
      <c r="K693" s="1"/>
      <c r="L693" s="3"/>
      <c r="M693" s="1"/>
      <c r="N693" s="1"/>
    </row>
    <row r="694" spans="1:14" x14ac:dyDescent="0.2">
      <c r="A694" s="1"/>
      <c r="B694" s="1"/>
      <c r="C694" s="1"/>
      <c r="D694" s="1"/>
      <c r="E694" s="1"/>
      <c r="F694" s="1"/>
      <c r="G694" s="1"/>
      <c r="H694" s="1"/>
      <c r="I694" s="1"/>
      <c r="J694" s="1"/>
      <c r="K694" s="1"/>
      <c r="L694" s="3"/>
      <c r="M694" s="1"/>
      <c r="N694" s="1"/>
    </row>
    <row r="695" spans="1:14" x14ac:dyDescent="0.2">
      <c r="A695" s="14"/>
      <c r="B695" s="14"/>
      <c r="C695" s="14"/>
      <c r="D695" s="180"/>
      <c r="E695" s="14"/>
      <c r="F695" s="14"/>
      <c r="G695" s="14"/>
      <c r="H695" s="14"/>
      <c r="I695" s="14"/>
      <c r="J695" s="1"/>
      <c r="K695" s="1"/>
      <c r="L695" s="3"/>
      <c r="M695" s="1"/>
      <c r="N695" s="1"/>
    </row>
    <row r="696" spans="1:14" x14ac:dyDescent="0.2">
      <c r="A696" s="1"/>
      <c r="B696" s="1"/>
      <c r="C696" s="1"/>
      <c r="D696" s="1"/>
      <c r="E696" s="1"/>
      <c r="F696" s="1"/>
      <c r="G696" s="1"/>
      <c r="H696" s="1"/>
      <c r="I696" s="1"/>
      <c r="J696" s="1"/>
      <c r="K696" s="1"/>
      <c r="L696" s="3"/>
      <c r="M696" s="1"/>
      <c r="N696" s="1"/>
    </row>
    <row r="697" spans="1:14" ht="26.25" thickBot="1" x14ac:dyDescent="0.25">
      <c r="A697" s="67" t="s">
        <v>691</v>
      </c>
      <c r="B697" s="103" t="s">
        <v>2701</v>
      </c>
      <c r="D697" s="102" t="s">
        <v>446</v>
      </c>
      <c r="E697" s="102" t="s">
        <v>1623</v>
      </c>
      <c r="F697" s="526" t="s">
        <v>2119</v>
      </c>
      <c r="G697" s="527" t="s">
        <v>2120</v>
      </c>
      <c r="H697" s="1"/>
      <c r="I697" s="1"/>
      <c r="J697" s="1"/>
      <c r="K697" s="1"/>
      <c r="L697" s="3"/>
      <c r="M697" s="1"/>
      <c r="N697" s="1"/>
    </row>
    <row r="698" spans="1:14" ht="13.5" customHeight="1" thickTop="1" x14ac:dyDescent="0.2">
      <c r="A698" s="1"/>
      <c r="B698" s="200" t="s">
        <v>2373</v>
      </c>
      <c r="C698" s="426"/>
      <c r="D698" s="425" t="s">
        <v>995</v>
      </c>
      <c r="E698" s="425" t="s">
        <v>995</v>
      </c>
      <c r="F698" s="425" t="s">
        <v>995</v>
      </c>
      <c r="G698" s="425" t="s">
        <v>995</v>
      </c>
      <c r="H698" s="1"/>
      <c r="I698" s="1"/>
      <c r="J698" s="5" t="str">
        <f>IF(D698="x","FOUT","")</f>
        <v/>
      </c>
      <c r="K698" s="5">
        <f>ABS(IF(J698="JUIST","1","0"))</f>
        <v>0</v>
      </c>
      <c r="L698" s="3" t="s">
        <v>995</v>
      </c>
      <c r="M698" s="1"/>
      <c r="N698" s="1"/>
    </row>
    <row r="699" spans="1:14" x14ac:dyDescent="0.2">
      <c r="A699" s="1"/>
      <c r="B699" s="61" t="s">
        <v>2374</v>
      </c>
      <c r="D699" s="3" t="s">
        <v>475</v>
      </c>
      <c r="E699" s="3" t="s">
        <v>476</v>
      </c>
      <c r="F699" s="3" t="s">
        <v>477</v>
      </c>
      <c r="G699" s="3" t="s">
        <v>478</v>
      </c>
      <c r="H699" s="1"/>
      <c r="I699" s="1"/>
      <c r="J699" s="5" t="str">
        <f>IF(E698="x","FOUT","")</f>
        <v/>
      </c>
      <c r="K699" s="5">
        <f>ABS(IF(J699="JUIST","1","0"))</f>
        <v>0</v>
      </c>
      <c r="L699" s="3" t="s">
        <v>995</v>
      </c>
      <c r="M699" s="1"/>
      <c r="N699" s="1"/>
    </row>
    <row r="700" spans="1:14" x14ac:dyDescent="0.2">
      <c r="A700" s="1"/>
      <c r="B700" s="67" t="s">
        <v>2375</v>
      </c>
      <c r="C700" s="3"/>
      <c r="D700" s="3"/>
      <c r="E700" s="3"/>
      <c r="F700" s="3"/>
      <c r="G700" s="1"/>
      <c r="H700" s="1"/>
      <c r="I700" s="1"/>
      <c r="J700" s="5" t="str">
        <f>IF(F698="x","JUIST","")</f>
        <v/>
      </c>
      <c r="K700" s="5">
        <f>ABS(IF(J700="JUIST","1","0"))</f>
        <v>0</v>
      </c>
      <c r="L700" s="3">
        <v>1</v>
      </c>
      <c r="M700" s="1"/>
      <c r="N700" s="1"/>
    </row>
    <row r="701" spans="1:14" x14ac:dyDescent="0.2">
      <c r="A701" s="1"/>
      <c r="B701" s="1" t="s">
        <v>995</v>
      </c>
      <c r="C701" s="1"/>
      <c r="D701" s="1"/>
      <c r="E701" s="1"/>
      <c r="F701" s="1"/>
      <c r="G701" s="1"/>
      <c r="H701" s="1"/>
      <c r="I701" s="1"/>
      <c r="J701" s="5" t="str">
        <f>IF(G698="x","FOUT","")</f>
        <v/>
      </c>
      <c r="K701" s="5">
        <f>ABS(IF(J701="JUIST","1","0"))</f>
        <v>0</v>
      </c>
      <c r="L701" s="3">
        <v>0</v>
      </c>
      <c r="M701" s="1"/>
      <c r="N701" s="1"/>
    </row>
    <row r="702" spans="1:14" x14ac:dyDescent="0.2">
      <c r="A702" s="1"/>
      <c r="B702" s="80" t="s">
        <v>333</v>
      </c>
      <c r="C702" s="1"/>
      <c r="D702" s="459"/>
      <c r="E702" s="460"/>
      <c r="F702" s="461"/>
      <c r="G702" s="459"/>
      <c r="H702" s="1"/>
      <c r="I702" s="1"/>
      <c r="J702" s="1"/>
      <c r="L702" s="3" t="s">
        <v>995</v>
      </c>
      <c r="M702" s="1"/>
      <c r="N702" s="1"/>
    </row>
    <row r="703" spans="1:14" x14ac:dyDescent="0.2">
      <c r="A703" s="1"/>
      <c r="B703" s="81" t="s">
        <v>895</v>
      </c>
      <c r="C703" s="1"/>
      <c r="D703" s="1"/>
      <c r="E703" s="1"/>
      <c r="F703" s="1"/>
      <c r="G703" s="1"/>
      <c r="H703" s="1"/>
      <c r="I703" s="1"/>
      <c r="J703" s="79" t="s">
        <v>995</v>
      </c>
      <c r="K703" s="1"/>
      <c r="L703" s="3"/>
      <c r="M703" s="1"/>
      <c r="N703" s="1"/>
    </row>
    <row r="704" spans="1:14" x14ac:dyDescent="0.2">
      <c r="A704" s="1"/>
      <c r="C704" s="1"/>
      <c r="D704" s="1"/>
      <c r="E704" s="1"/>
      <c r="G704" s="1"/>
      <c r="H704" s="1"/>
      <c r="I704" s="1"/>
      <c r="K704" s="1"/>
      <c r="L704" s="3"/>
      <c r="M704" s="1"/>
      <c r="N704" s="1"/>
    </row>
    <row r="705" spans="1:14" x14ac:dyDescent="0.2">
      <c r="A705" s="1"/>
      <c r="B705" s="82" t="s">
        <v>1033</v>
      </c>
      <c r="C705" s="318" t="s">
        <v>995</v>
      </c>
      <c r="D705" s="1"/>
      <c r="E705" s="1"/>
      <c r="F705" s="79"/>
      <c r="G705" s="1"/>
      <c r="H705" s="1"/>
      <c r="I705" s="1"/>
      <c r="J705" s="73" t="str">
        <f>IF(C705="x","Het juiste antwoord is:  C.","")</f>
        <v/>
      </c>
      <c r="K705" s="1"/>
      <c r="L705" s="3"/>
      <c r="M705" s="1"/>
      <c r="N705" s="1"/>
    </row>
    <row r="706" spans="1:14" x14ac:dyDescent="0.2">
      <c r="A706" s="1"/>
      <c r="B706" s="3">
        <f>IF(C705="x",J705,)</f>
        <v>0</v>
      </c>
      <c r="C706" s="467"/>
      <c r="D706" s="1"/>
      <c r="E706" s="1"/>
      <c r="F706" s="79"/>
      <c r="G706" s="1"/>
      <c r="H706" s="1"/>
      <c r="I706" s="1"/>
      <c r="J706" s="120"/>
      <c r="K706" s="1"/>
      <c r="L706" s="3"/>
      <c r="M706" s="1"/>
      <c r="N706" s="1"/>
    </row>
    <row r="707" spans="1:14" x14ac:dyDescent="0.2">
      <c r="A707" s="1"/>
      <c r="B707" s="1"/>
      <c r="C707" s="1"/>
      <c r="D707" s="1"/>
      <c r="E707" s="1"/>
      <c r="F707" s="1"/>
      <c r="G707" s="1"/>
      <c r="H707" s="1"/>
      <c r="I707" s="1"/>
      <c r="J707" s="1"/>
      <c r="K707" s="1"/>
      <c r="L707" s="3"/>
      <c r="M707" s="1"/>
      <c r="N707" s="1"/>
    </row>
    <row r="708" spans="1:14" x14ac:dyDescent="0.2">
      <c r="A708" s="14"/>
      <c r="B708" s="14"/>
      <c r="C708" s="14"/>
      <c r="D708" s="180"/>
      <c r="E708" s="14"/>
      <c r="F708" s="14"/>
      <c r="G708" s="14"/>
      <c r="H708" s="14"/>
      <c r="I708" s="14"/>
      <c r="J708" s="1"/>
      <c r="K708" s="1"/>
      <c r="L708" s="3"/>
      <c r="M708" s="1"/>
      <c r="N708" s="1"/>
    </row>
    <row r="709" spans="1:14" x14ac:dyDescent="0.2">
      <c r="A709" s="1"/>
      <c r="B709" s="1"/>
      <c r="C709" s="1"/>
      <c r="D709" s="1"/>
      <c r="E709" s="1"/>
      <c r="F709" s="1"/>
      <c r="G709" s="1"/>
      <c r="H709" s="1"/>
      <c r="I709" s="1"/>
      <c r="J709" s="5" t="e">
        <f>SEARCH(D715,M710)</f>
        <v>#VALUE!</v>
      </c>
      <c r="K709" s="1"/>
      <c r="L709" s="3"/>
      <c r="M709" s="1"/>
      <c r="N709" s="1"/>
    </row>
    <row r="710" spans="1:14" x14ac:dyDescent="0.2">
      <c r="A710" s="67" t="s">
        <v>692</v>
      </c>
      <c r="B710" s="67" t="s">
        <v>1940</v>
      </c>
      <c r="C710" s="426"/>
      <c r="D710" s="430" t="s">
        <v>1929</v>
      </c>
      <c r="E710" s="54"/>
      <c r="F710" s="54"/>
      <c r="G710" s="1"/>
      <c r="H710" s="1"/>
      <c r="I710" s="1"/>
      <c r="J710" s="5">
        <f>ABS(ISERR(J709))</f>
        <v>1</v>
      </c>
      <c r="K710" s="5">
        <f>ABS(IF(J710=0,"1","0"))</f>
        <v>0</v>
      </c>
      <c r="L710" s="3">
        <v>1</v>
      </c>
      <c r="M710" s="67" t="s">
        <v>507</v>
      </c>
      <c r="N710" s="1"/>
    </row>
    <row r="711" spans="1:14" x14ac:dyDescent="0.2">
      <c r="A711" s="1"/>
      <c r="B711" s="67" t="s">
        <v>1939</v>
      </c>
      <c r="C711" s="426"/>
      <c r="D711" s="1"/>
      <c r="E711" s="64" t="s">
        <v>995</v>
      </c>
      <c r="F711" s="64" t="s">
        <v>995</v>
      </c>
      <c r="G711" s="1"/>
      <c r="H711" s="1"/>
      <c r="I711" s="1"/>
      <c r="J711" s="5" t="e">
        <f>SEARCH(D715,M712)</f>
        <v>#VALUE!</v>
      </c>
      <c r="K711" s="1"/>
      <c r="L711" s="3"/>
      <c r="M711" s="1"/>
      <c r="N711" s="1"/>
    </row>
    <row r="712" spans="1:14" x14ac:dyDescent="0.2">
      <c r="A712" s="1"/>
      <c r="B712" s="67" t="s">
        <v>1941</v>
      </c>
      <c r="C712" s="426"/>
      <c r="D712" s="1"/>
      <c r="E712" s="462" t="s">
        <v>1931</v>
      </c>
      <c r="F712" s="462" t="s">
        <v>1933</v>
      </c>
      <c r="G712" s="1"/>
      <c r="H712" s="1"/>
      <c r="I712" s="1"/>
      <c r="J712" s="5">
        <f>ABS(ISERR(J711))</f>
        <v>1</v>
      </c>
      <c r="K712" s="5">
        <f>ABS(IF(J712=0,"0,5","0"))</f>
        <v>0</v>
      </c>
      <c r="L712" s="3">
        <v>0.5</v>
      </c>
      <c r="M712" s="67" t="s">
        <v>1942</v>
      </c>
      <c r="N712" s="1"/>
    </row>
    <row r="713" spans="1:14" x14ac:dyDescent="0.2">
      <c r="A713" s="1"/>
      <c r="B713" s="1"/>
      <c r="C713" s="426"/>
      <c r="D713" s="1"/>
      <c r="E713" s="87"/>
      <c r="F713" s="87"/>
      <c r="G713" s="1"/>
      <c r="H713" s="1"/>
      <c r="I713" s="1"/>
      <c r="J713" s="5" t="e">
        <f>SEARCH(D715,M714)</f>
        <v>#VALUE!</v>
      </c>
      <c r="K713" s="1"/>
      <c r="L713" s="3"/>
      <c r="M713" s="1"/>
      <c r="N713" s="1"/>
    </row>
    <row r="714" spans="1:14" x14ac:dyDescent="0.2">
      <c r="A714" s="1"/>
      <c r="B714" s="1"/>
      <c r="C714" s="426"/>
      <c r="D714" s="1"/>
      <c r="E714" s="84"/>
      <c r="F714" s="84"/>
      <c r="G714" s="1"/>
      <c r="H714" s="1"/>
      <c r="I714" s="1"/>
      <c r="J714" s="5">
        <f>ABS(ISERR(J713))</f>
        <v>1</v>
      </c>
      <c r="K714" s="5">
        <f>ABS(IF(J714=0,"0,5","0"))</f>
        <v>0</v>
      </c>
      <c r="L714" s="3">
        <v>0.5</v>
      </c>
      <c r="M714" s="67" t="s">
        <v>1943</v>
      </c>
      <c r="N714" s="1"/>
    </row>
    <row r="715" spans="1:14" x14ac:dyDescent="0.2">
      <c r="A715" s="1"/>
      <c r="B715" s="82" t="s">
        <v>1872</v>
      </c>
      <c r="C715" s="426"/>
      <c r="D715" s="464" t="s">
        <v>995</v>
      </c>
      <c r="E715" s="86"/>
      <c r="F715" s="12"/>
      <c r="G715" s="1"/>
      <c r="H715" s="1"/>
      <c r="I715" s="1"/>
      <c r="J715" s="466" t="s">
        <v>995</v>
      </c>
      <c r="K715" s="1"/>
      <c r="L715" s="3"/>
      <c r="M715" s="1"/>
      <c r="N715" s="1"/>
    </row>
    <row r="716" spans="1:14" x14ac:dyDescent="0.2">
      <c r="A716" s="1"/>
      <c r="B716" s="318" t="s">
        <v>995</v>
      </c>
      <c r="C716" s="426"/>
      <c r="D716" s="1"/>
      <c r="E716" s="86"/>
      <c r="F716" s="87"/>
      <c r="G716" s="1"/>
      <c r="H716" s="1"/>
      <c r="I716" s="1"/>
      <c r="J716" s="1"/>
      <c r="K716" s="1"/>
      <c r="L716" s="3"/>
      <c r="M716" s="67" t="s">
        <v>1945</v>
      </c>
      <c r="N716" s="1"/>
    </row>
    <row r="717" spans="1:14" x14ac:dyDescent="0.2">
      <c r="A717" s="1"/>
      <c r="B717" s="67" t="s">
        <v>995</v>
      </c>
      <c r="C717" s="426"/>
      <c r="D717" s="1"/>
      <c r="E717" s="463" t="s">
        <v>1932</v>
      </c>
      <c r="F717" s="462" t="s">
        <v>1934</v>
      </c>
      <c r="G717" s="1"/>
      <c r="H717" s="1"/>
      <c r="I717" s="1"/>
      <c r="J717" s="1"/>
      <c r="K717" s="1"/>
      <c r="L717" s="3"/>
      <c r="M717" s="67" t="s">
        <v>1944</v>
      </c>
      <c r="N717" s="1"/>
    </row>
    <row r="718" spans="1:14" x14ac:dyDescent="0.2">
      <c r="A718" s="1"/>
      <c r="B718" s="3">
        <f>IF(B716="x",M710,)</f>
        <v>0</v>
      </c>
      <c r="C718" s="426"/>
      <c r="D718" s="1"/>
      <c r="E718" s="59"/>
      <c r="F718" s="55"/>
      <c r="G718" s="1"/>
      <c r="H718" s="1"/>
      <c r="I718" s="1"/>
      <c r="J718" s="1"/>
      <c r="K718" s="1"/>
      <c r="L718" s="3"/>
      <c r="M718" s="1"/>
      <c r="N718" s="1"/>
    </row>
    <row r="719" spans="1:14" x14ac:dyDescent="0.2">
      <c r="A719" s="1"/>
      <c r="B719" s="3">
        <f>IF(B716="x",M716,)</f>
        <v>0</v>
      </c>
      <c r="C719" s="426"/>
      <c r="D719" s="430" t="s">
        <v>1930</v>
      </c>
      <c r="E719" s="129"/>
      <c r="F719" s="28"/>
      <c r="G719" s="1"/>
      <c r="H719" s="1"/>
      <c r="I719" s="1"/>
      <c r="J719" s="1"/>
      <c r="K719" s="1"/>
      <c r="L719" s="3"/>
      <c r="M719" s="1"/>
      <c r="N719" s="1"/>
    </row>
    <row r="720" spans="1:14" x14ac:dyDescent="0.2">
      <c r="A720" s="1"/>
      <c r="B720" s="3">
        <f>IF(B716="x",M717,)</f>
        <v>0</v>
      </c>
      <c r="C720" s="1"/>
      <c r="E720" s="426"/>
      <c r="F720" s="426"/>
      <c r="G720" s="426"/>
      <c r="H720" s="1"/>
      <c r="I720" s="1"/>
      <c r="J720" s="1"/>
      <c r="K720" s="1"/>
      <c r="L720" s="3"/>
      <c r="M720" s="1"/>
      <c r="N720" s="1"/>
    </row>
    <row r="721" spans="1:14" x14ac:dyDescent="0.2">
      <c r="A721" s="1"/>
      <c r="B721" s="1"/>
      <c r="C721" s="1"/>
      <c r="D721" s="429" t="s">
        <v>1935</v>
      </c>
      <c r="E721" s="429" t="s">
        <v>1937</v>
      </c>
      <c r="F721" s="519" t="s">
        <v>1938</v>
      </c>
      <c r="G721" s="67" t="s">
        <v>1936</v>
      </c>
      <c r="H721" s="1"/>
      <c r="I721" s="1"/>
      <c r="J721" s="1"/>
      <c r="K721" s="1"/>
      <c r="L721" s="3"/>
      <c r="M721" s="1"/>
      <c r="N721" s="1"/>
    </row>
    <row r="722" spans="1:14" x14ac:dyDescent="0.2">
      <c r="A722" s="1"/>
      <c r="B722" s="1"/>
      <c r="C722" s="1"/>
      <c r="D722" s="426"/>
      <c r="E722" s="426"/>
      <c r="F722" s="426"/>
      <c r="G722" s="426"/>
      <c r="H722" s="1"/>
      <c r="I722" s="1"/>
      <c r="J722" s="1"/>
      <c r="K722" s="1"/>
      <c r="L722" s="3"/>
      <c r="M722" s="1"/>
      <c r="N722" s="1"/>
    </row>
    <row r="723" spans="1:14" x14ac:dyDescent="0.2">
      <c r="A723" s="14"/>
      <c r="B723" s="14"/>
      <c r="C723" s="14"/>
      <c r="D723" s="180"/>
      <c r="E723" s="14"/>
      <c r="F723" s="14"/>
      <c r="G723" s="14"/>
      <c r="H723" s="14"/>
      <c r="I723" s="14"/>
      <c r="J723" s="1"/>
      <c r="K723" s="1"/>
      <c r="L723" s="3"/>
      <c r="M723" s="1"/>
      <c r="N723" s="1"/>
    </row>
    <row r="724" spans="1:14" x14ac:dyDescent="0.2">
      <c r="A724" s="1"/>
      <c r="B724" s="1"/>
      <c r="C724" s="1"/>
      <c r="D724" s="1"/>
      <c r="E724" s="1"/>
      <c r="F724" s="1"/>
      <c r="G724" s="1"/>
      <c r="H724" s="1"/>
      <c r="I724" s="1"/>
      <c r="J724" s="1"/>
      <c r="K724" s="1"/>
      <c r="L724" s="3"/>
      <c r="M724" s="1"/>
      <c r="N724" s="1"/>
    </row>
    <row r="725" spans="1:14" ht="26.25" thickBot="1" x14ac:dyDescent="0.25">
      <c r="A725" s="67" t="s">
        <v>702</v>
      </c>
      <c r="B725" s="67" t="s">
        <v>1946</v>
      </c>
      <c r="C725" s="1"/>
      <c r="D725" s="102" t="s">
        <v>446</v>
      </c>
      <c r="E725" s="102" t="s">
        <v>1623</v>
      </c>
      <c r="F725" s="526" t="s">
        <v>2119</v>
      </c>
      <c r="G725" s="527" t="s">
        <v>2120</v>
      </c>
      <c r="H725" s="1"/>
      <c r="I725" s="1"/>
      <c r="J725" s="1"/>
      <c r="K725" s="1"/>
      <c r="L725" s="3"/>
      <c r="M725" s="1"/>
      <c r="N725" s="1"/>
    </row>
    <row r="726" spans="1:14" ht="13.5" thickTop="1" x14ac:dyDescent="0.2">
      <c r="A726" s="1"/>
      <c r="B726" s="67" t="s">
        <v>1947</v>
      </c>
      <c r="C726" s="1"/>
      <c r="D726" s="425" t="s">
        <v>995</v>
      </c>
      <c r="E726" s="425" t="s">
        <v>995</v>
      </c>
      <c r="F726" s="425" t="s">
        <v>995</v>
      </c>
      <c r="G726" s="425" t="s">
        <v>995</v>
      </c>
      <c r="H726" s="1"/>
      <c r="I726" s="1"/>
      <c r="J726" s="5" t="str">
        <f>IF(D726="x","FOUT","")</f>
        <v/>
      </c>
      <c r="K726" s="5">
        <f>ABS(IF(J726="JUIST","1","0"))</f>
        <v>0</v>
      </c>
      <c r="L726" s="3" t="s">
        <v>995</v>
      </c>
      <c r="M726" s="1"/>
      <c r="N726" s="1"/>
    </row>
    <row r="727" spans="1:14" x14ac:dyDescent="0.2">
      <c r="A727" s="1"/>
      <c r="B727" s="67" t="s">
        <v>1948</v>
      </c>
      <c r="C727" s="1"/>
      <c r="D727" s="3" t="s">
        <v>475</v>
      </c>
      <c r="E727" s="3" t="s">
        <v>476</v>
      </c>
      <c r="F727" s="3" t="s">
        <v>477</v>
      </c>
      <c r="G727" s="3" t="s">
        <v>478</v>
      </c>
      <c r="H727" s="1"/>
      <c r="I727" s="1"/>
      <c r="J727" s="5" t="str">
        <f>IF(E726="x","JUIST","")</f>
        <v/>
      </c>
      <c r="K727" s="5">
        <f>ABS(IF(J727="JUIST","1","0"))</f>
        <v>0</v>
      </c>
      <c r="L727" s="3">
        <v>1</v>
      </c>
      <c r="M727" s="1"/>
      <c r="N727" s="1"/>
    </row>
    <row r="728" spans="1:14" x14ac:dyDescent="0.2">
      <c r="A728" s="1"/>
      <c r="B728" s="103" t="s">
        <v>2376</v>
      </c>
      <c r="C728" s="1"/>
      <c r="D728" s="3"/>
      <c r="E728" s="3"/>
      <c r="F728" s="3"/>
      <c r="G728" s="1"/>
      <c r="H728" s="1"/>
      <c r="I728" s="1"/>
      <c r="J728" s="5" t="str">
        <f>IF(F726="x","FOUT","")</f>
        <v/>
      </c>
      <c r="K728" s="5">
        <f>ABS(IF(J728="JUIST","1","0"))</f>
        <v>0</v>
      </c>
      <c r="L728" s="430" t="s">
        <v>995</v>
      </c>
      <c r="M728" s="1"/>
      <c r="N728" s="1"/>
    </row>
    <row r="729" spans="1:14" x14ac:dyDescent="0.2">
      <c r="A729" s="1"/>
      <c r="B729" s="103" t="s">
        <v>2377</v>
      </c>
      <c r="C729" s="1"/>
      <c r="D729" s="1"/>
      <c r="E729" s="1"/>
      <c r="F729" s="1"/>
      <c r="G729" s="1"/>
      <c r="H729" s="1"/>
      <c r="I729" s="1"/>
      <c r="J729" s="5" t="str">
        <f>IF(G726="x","FOUT","")</f>
        <v/>
      </c>
      <c r="K729" s="5">
        <f>ABS(IF(J729="JUIST","1","0"))</f>
        <v>0</v>
      </c>
      <c r="L729" s="3">
        <v>0</v>
      </c>
      <c r="M729" s="1"/>
      <c r="N729" s="1"/>
    </row>
    <row r="730" spans="1:14" x14ac:dyDescent="0.2">
      <c r="A730" s="1"/>
      <c r="B730" s="1"/>
      <c r="C730" s="1"/>
      <c r="D730" s="1"/>
      <c r="E730" s="1"/>
      <c r="F730" s="1"/>
      <c r="G730" s="1"/>
      <c r="H730" s="1"/>
      <c r="I730" s="1"/>
      <c r="J730" s="1"/>
      <c r="K730" s="1"/>
      <c r="L730" s="3"/>
      <c r="M730" s="1"/>
      <c r="N730" s="1"/>
    </row>
    <row r="731" spans="1:14" x14ac:dyDescent="0.2">
      <c r="A731" s="1"/>
      <c r="B731" s="82" t="s">
        <v>1033</v>
      </c>
      <c r="C731" s="318" t="s">
        <v>995</v>
      </c>
      <c r="D731" s="1"/>
      <c r="E731" s="1"/>
      <c r="F731" s="79"/>
      <c r="G731" s="1"/>
      <c r="H731" s="1"/>
      <c r="I731" s="1"/>
      <c r="J731" s="73" t="str">
        <f>IF(C731="x","Het juiste antwoord is:  B.","")</f>
        <v/>
      </c>
      <c r="K731" s="1"/>
      <c r="L731" s="3"/>
      <c r="M731" s="1"/>
      <c r="N731" s="1"/>
    </row>
    <row r="732" spans="1:14" x14ac:dyDescent="0.2">
      <c r="A732" s="1"/>
      <c r="B732" s="3">
        <f>IF(C731="x",J731,)</f>
        <v>0</v>
      </c>
      <c r="C732" s="467"/>
      <c r="D732" s="1"/>
      <c r="E732" s="1"/>
      <c r="F732" s="79"/>
      <c r="G732" s="1"/>
      <c r="H732" s="1"/>
      <c r="I732" s="1"/>
      <c r="J732" s="120"/>
      <c r="K732" s="1"/>
      <c r="L732" s="3"/>
      <c r="M732" s="1"/>
      <c r="N732" s="1"/>
    </row>
    <row r="733" spans="1:14" x14ac:dyDescent="0.2">
      <c r="A733" s="14"/>
      <c r="B733" s="14"/>
      <c r="C733" s="14"/>
      <c r="D733" s="180"/>
      <c r="E733" s="14"/>
      <c r="F733" s="14"/>
      <c r="G733" s="14"/>
      <c r="H733" s="14"/>
      <c r="I733" s="14"/>
      <c r="J733" s="1"/>
      <c r="K733" s="1"/>
      <c r="L733" s="3"/>
      <c r="M733" s="1"/>
      <c r="N733" s="1"/>
    </row>
    <row r="734" spans="1:14" x14ac:dyDescent="0.2">
      <c r="A734" s="1"/>
      <c r="B734" s="1"/>
      <c r="C734" s="1"/>
      <c r="D734" s="1"/>
      <c r="E734" s="1"/>
      <c r="F734" s="1"/>
      <c r="G734" s="1"/>
      <c r="H734" s="1"/>
      <c r="I734" s="1"/>
      <c r="J734" s="1"/>
      <c r="K734" s="1"/>
      <c r="L734" s="3"/>
      <c r="M734" s="1"/>
      <c r="N734" s="1"/>
    </row>
    <row r="735" spans="1:14" x14ac:dyDescent="0.2">
      <c r="A735" s="67" t="s">
        <v>706</v>
      </c>
      <c r="B735" s="1" t="s">
        <v>2378</v>
      </c>
      <c r="C735" s="1"/>
      <c r="D735" s="1"/>
      <c r="E735" s="1"/>
      <c r="F735" s="1"/>
      <c r="G735" s="1"/>
      <c r="H735" s="1"/>
      <c r="I735" s="1"/>
      <c r="J735" s="5" t="e">
        <f>SEARCH("variatie",C738)</f>
        <v>#VALUE!</v>
      </c>
      <c r="K735" s="1"/>
      <c r="L735" s="3"/>
      <c r="M735" s="1"/>
      <c r="N735" s="1"/>
    </row>
    <row r="736" spans="1:14" x14ac:dyDescent="0.2">
      <c r="A736" s="1"/>
      <c r="B736" s="1" t="s">
        <v>690</v>
      </c>
      <c r="C736" s="1"/>
      <c r="D736" s="1"/>
      <c r="E736" s="1"/>
      <c r="F736" s="1"/>
      <c r="G736" s="1"/>
      <c r="H736" s="1"/>
      <c r="I736" s="1"/>
      <c r="J736" s="5">
        <f>ABS(ISERR(J735))</f>
        <v>1</v>
      </c>
      <c r="K736" s="5">
        <f>ABS(IF(J736=0,"1","0"))</f>
        <v>0</v>
      </c>
      <c r="L736" s="3">
        <v>1</v>
      </c>
      <c r="M736" s="1"/>
      <c r="N736" s="1"/>
    </row>
    <row r="737" spans="1:14" x14ac:dyDescent="0.2">
      <c r="A737" s="1"/>
      <c r="B737" s="1"/>
      <c r="C737" s="1"/>
      <c r="D737" s="1"/>
      <c r="E737" s="1"/>
      <c r="F737" s="1"/>
      <c r="G737" s="1"/>
      <c r="H737" s="1"/>
      <c r="I737" s="1"/>
      <c r="J737" s="5" t="e">
        <f>SEARCH("regelcapaciteit",C738)</f>
        <v>#VALUE!</v>
      </c>
      <c r="K737" s="1"/>
      <c r="L737" s="3"/>
      <c r="M737" s="1"/>
      <c r="N737" s="1"/>
    </row>
    <row r="738" spans="1:14" x14ac:dyDescent="0.2">
      <c r="A738" s="6" t="s">
        <v>999</v>
      </c>
      <c r="B738" s="111" t="s">
        <v>684</v>
      </c>
      <c r="C738" s="115" t="s">
        <v>995</v>
      </c>
      <c r="D738" s="1"/>
      <c r="E738" s="1"/>
      <c r="F738" s="1"/>
      <c r="G738" s="1"/>
      <c r="H738" s="1"/>
      <c r="I738" s="1"/>
      <c r="J738" s="5">
        <f>ABS(ISERR(J737))</f>
        <v>1</v>
      </c>
      <c r="K738" s="5">
        <f>ABS(IF(J738=0,"1","0"))</f>
        <v>0</v>
      </c>
      <c r="L738" s="3" t="s">
        <v>995</v>
      </c>
      <c r="M738" s="1"/>
      <c r="N738" s="1"/>
    </row>
    <row r="739" spans="1:14" x14ac:dyDescent="0.2">
      <c r="A739" s="6" t="s">
        <v>1000</v>
      </c>
      <c r="B739" s="6" t="s">
        <v>685</v>
      </c>
      <c r="C739" s="1"/>
      <c r="D739" s="1"/>
      <c r="E739" s="1"/>
      <c r="F739" s="1"/>
      <c r="G739" s="1"/>
      <c r="H739" s="1"/>
      <c r="I739" s="1"/>
      <c r="J739" s="5" t="e">
        <f>SEARCH("variatie",C7077)</f>
        <v>#VALUE!</v>
      </c>
      <c r="K739" s="1"/>
      <c r="L739" s="3"/>
      <c r="M739" s="1"/>
      <c r="N739" s="1"/>
    </row>
    <row r="740" spans="1:14" x14ac:dyDescent="0.2">
      <c r="A740" s="6" t="s">
        <v>1001</v>
      </c>
      <c r="B740" s="6" t="s">
        <v>2379</v>
      </c>
      <c r="C740" s="1"/>
      <c r="D740" s="1"/>
      <c r="E740" s="1"/>
      <c r="F740" t="s">
        <v>995</v>
      </c>
      <c r="G740" s="1"/>
      <c r="H740" s="1"/>
      <c r="I740" s="1"/>
      <c r="J740" s="5">
        <f>ABS(ISERR(J739))</f>
        <v>1</v>
      </c>
      <c r="K740" s="5">
        <f>ABS(IF(J740=0,"1","0"))</f>
        <v>0</v>
      </c>
      <c r="L740" s="3"/>
      <c r="M740" s="1"/>
      <c r="N740" s="1"/>
    </row>
    <row r="741" spans="1:14" x14ac:dyDescent="0.2">
      <c r="A741" s="6" t="s">
        <v>1002</v>
      </c>
      <c r="B741" s="6" t="s">
        <v>2380</v>
      </c>
      <c r="C741" s="1"/>
      <c r="D741" s="1"/>
      <c r="E741" s="1"/>
      <c r="F741" s="1"/>
      <c r="G741" s="1"/>
      <c r="H741" s="1"/>
      <c r="I741" s="1"/>
      <c r="J741" s="5" t="e">
        <f>SEARCH("regelcapaciteit",C743)</f>
        <v>#VALUE!</v>
      </c>
      <c r="K741" s="1"/>
      <c r="L741" s="3"/>
      <c r="M741" s="1"/>
      <c r="N741" s="1"/>
    </row>
    <row r="742" spans="1:14" x14ac:dyDescent="0.2">
      <c r="A742" s="6" t="s">
        <v>863</v>
      </c>
      <c r="B742" s="6" t="s">
        <v>686</v>
      </c>
      <c r="C742" s="1"/>
      <c r="D742" s="1"/>
      <c r="E742" s="1"/>
      <c r="F742" s="1"/>
      <c r="G742" s="1"/>
      <c r="H742" s="1"/>
      <c r="I742" s="1"/>
      <c r="J742" s="5">
        <f>ABS(ISERR(J741))</f>
        <v>1</v>
      </c>
      <c r="K742" s="5">
        <f>ABS(IF(J742=0,"1","0"))</f>
        <v>0</v>
      </c>
      <c r="L742" s="3">
        <v>1</v>
      </c>
      <c r="M742" s="1"/>
      <c r="N742" s="1"/>
    </row>
    <row r="743" spans="1:14" x14ac:dyDescent="0.2">
      <c r="A743" s="6" t="s">
        <v>1080</v>
      </c>
      <c r="B743" s="111" t="s">
        <v>687</v>
      </c>
      <c r="C743" s="115" t="s">
        <v>995</v>
      </c>
      <c r="D743" s="1"/>
      <c r="E743" s="1"/>
      <c r="F743" s="1"/>
      <c r="G743" s="1"/>
      <c r="H743" s="1"/>
      <c r="I743" s="1"/>
      <c r="J743" s="1"/>
      <c r="K743" s="1"/>
      <c r="L743" s="3"/>
      <c r="M743" s="1"/>
      <c r="N743" s="1"/>
    </row>
    <row r="744" spans="1:14" x14ac:dyDescent="0.2">
      <c r="A744" s="6" t="s">
        <v>1082</v>
      </c>
      <c r="B744" s="6" t="s">
        <v>688</v>
      </c>
      <c r="C744" s="1"/>
      <c r="D744" s="1"/>
      <c r="E744" s="1"/>
      <c r="F744" s="1"/>
      <c r="G744" s="1"/>
      <c r="H744" s="1"/>
      <c r="I744" s="1"/>
      <c r="J744" s="1"/>
      <c r="K744" s="1"/>
      <c r="L744" s="3"/>
      <c r="M744" s="1"/>
      <c r="N744" s="1"/>
    </row>
    <row r="745" spans="1:14" x14ac:dyDescent="0.2">
      <c r="A745" s="6" t="s">
        <v>322</v>
      </c>
      <c r="B745" s="6" t="s">
        <v>689</v>
      </c>
      <c r="C745" s="1"/>
      <c r="D745" s="1"/>
      <c r="E745" s="1"/>
      <c r="F745" s="1"/>
      <c r="G745" s="1"/>
      <c r="H745" s="1"/>
      <c r="I745" s="1"/>
      <c r="J745" s="1"/>
      <c r="K745" s="1"/>
      <c r="L745" s="3"/>
      <c r="M745" s="1"/>
      <c r="N745" s="1"/>
    </row>
    <row r="746" spans="1:14" x14ac:dyDescent="0.2">
      <c r="A746" s="1"/>
      <c r="B746" s="1"/>
      <c r="C746" s="1"/>
      <c r="D746" s="1"/>
      <c r="E746" s="1"/>
      <c r="F746" s="1"/>
      <c r="G746" s="1"/>
      <c r="H746" s="1"/>
      <c r="I746" s="1"/>
      <c r="J746" s="1"/>
      <c r="K746" s="1"/>
      <c r="L746" s="3"/>
      <c r="M746" s="1"/>
      <c r="N746" s="1"/>
    </row>
    <row r="747" spans="1:14" x14ac:dyDescent="0.2">
      <c r="A747" s="1"/>
      <c r="B747" s="82" t="s">
        <v>1033</v>
      </c>
      <c r="C747" s="318" t="s">
        <v>995</v>
      </c>
      <c r="D747" s="1"/>
      <c r="E747" s="1"/>
      <c r="F747" s="79"/>
      <c r="G747" s="1"/>
      <c r="H747" s="1"/>
      <c r="I747" s="1"/>
      <c r="J747" s="73" t="str">
        <f>IF(C747="x","Variatie en Regelcapaciteit","")</f>
        <v/>
      </c>
      <c r="K747" s="1"/>
      <c r="L747" s="3"/>
      <c r="M747" s="1"/>
      <c r="N747" s="1"/>
    </row>
    <row r="748" spans="1:14" x14ac:dyDescent="0.2">
      <c r="A748" s="1"/>
      <c r="B748" s="3" t="str">
        <f>IF(C747="x",J747,"")</f>
        <v/>
      </c>
      <c r="C748" s="1"/>
      <c r="D748" s="1"/>
      <c r="E748" s="1"/>
      <c r="F748" s="1"/>
      <c r="G748" s="1"/>
      <c r="H748" s="1"/>
      <c r="I748" s="1"/>
      <c r="J748" s="1"/>
      <c r="K748" s="1"/>
      <c r="L748" s="3"/>
      <c r="M748" s="1"/>
      <c r="N748" s="1"/>
    </row>
    <row r="749" spans="1:14" x14ac:dyDescent="0.2">
      <c r="A749" s="14"/>
      <c r="B749" s="14"/>
      <c r="C749" s="14"/>
      <c r="D749" s="180"/>
      <c r="E749" s="14"/>
      <c r="F749" s="14"/>
      <c r="G749" s="14"/>
      <c r="H749" s="14"/>
      <c r="I749" s="14"/>
      <c r="J749" s="1"/>
      <c r="K749" s="1"/>
      <c r="L749" s="3"/>
      <c r="M749" s="1"/>
      <c r="N749" s="1"/>
    </row>
    <row r="750" spans="1:14" x14ac:dyDescent="0.2">
      <c r="A750" s="1"/>
      <c r="B750" s="1"/>
      <c r="C750" s="1"/>
      <c r="D750" s="1"/>
      <c r="E750" s="1"/>
      <c r="F750" s="1"/>
      <c r="G750" s="1"/>
      <c r="H750" s="1"/>
      <c r="I750" s="1"/>
      <c r="J750" s="1"/>
      <c r="K750" s="1"/>
      <c r="L750" s="3"/>
      <c r="M750" s="1"/>
      <c r="N750" s="1"/>
    </row>
    <row r="751" spans="1:14" ht="26.25" thickBot="1" x14ac:dyDescent="0.25">
      <c r="A751" s="67" t="s">
        <v>707</v>
      </c>
      <c r="B751" s="103" t="s">
        <v>2381</v>
      </c>
      <c r="C751" s="102" t="s">
        <v>446</v>
      </c>
      <c r="D751" s="102" t="s">
        <v>1623</v>
      </c>
      <c r="E751" s="526" t="s">
        <v>2119</v>
      </c>
      <c r="F751" s="527" t="s">
        <v>2120</v>
      </c>
      <c r="G751" s="1"/>
      <c r="H751" s="1"/>
      <c r="I751" s="1"/>
      <c r="J751" s="1"/>
      <c r="K751" s="1"/>
      <c r="L751" s="3"/>
      <c r="M751" s="1"/>
      <c r="N751" s="1"/>
    </row>
    <row r="752" spans="1:14" ht="13.5" thickTop="1" x14ac:dyDescent="0.2">
      <c r="A752" s="1"/>
      <c r="B752" s="200" t="s">
        <v>2382</v>
      </c>
      <c r="C752" s="425" t="s">
        <v>995</v>
      </c>
      <c r="D752" s="425" t="s">
        <v>995</v>
      </c>
      <c r="E752" s="425" t="s">
        <v>995</v>
      </c>
      <c r="F752" s="425" t="s">
        <v>995</v>
      </c>
      <c r="G752" s="1"/>
      <c r="H752" s="1"/>
      <c r="I752" s="1"/>
      <c r="J752" s="5" t="str">
        <f>IF(C752="x","JUIST","")</f>
        <v/>
      </c>
      <c r="K752" s="5">
        <f>ABS(IF(J752="JUIST","1","0"))</f>
        <v>0</v>
      </c>
      <c r="L752" s="3" t="s">
        <v>995</v>
      </c>
      <c r="M752" s="1"/>
      <c r="N752" s="1"/>
    </row>
    <row r="753" spans="1:14" x14ac:dyDescent="0.2">
      <c r="A753" s="1"/>
      <c r="B753" s="61" t="s">
        <v>2752</v>
      </c>
      <c r="C753" s="3" t="s">
        <v>475</v>
      </c>
      <c r="D753" s="3" t="s">
        <v>476</v>
      </c>
      <c r="E753" s="3" t="s">
        <v>477</v>
      </c>
      <c r="F753" s="3" t="s">
        <v>478</v>
      </c>
      <c r="G753" s="1"/>
      <c r="H753" s="1"/>
      <c r="I753" s="1"/>
      <c r="J753" s="5" t="str">
        <f>IF(D752="x","FOUT","")</f>
        <v/>
      </c>
      <c r="K753" s="5">
        <f>ABS(IF(J753="JUIST","1","0"))</f>
        <v>0</v>
      </c>
      <c r="L753" s="3"/>
      <c r="M753" s="1"/>
      <c r="N753" s="1"/>
    </row>
    <row r="754" spans="1:14" x14ac:dyDescent="0.2">
      <c r="A754" s="1"/>
      <c r="B754" s="428" t="s">
        <v>2383</v>
      </c>
      <c r="C754" s="1"/>
      <c r="D754" s="1"/>
      <c r="E754" s="1"/>
      <c r="F754" s="1"/>
      <c r="G754" s="1"/>
      <c r="H754" s="1"/>
      <c r="I754" s="1"/>
      <c r="J754" s="5" t="str">
        <f>IF(E752="x","FOUT","")</f>
        <v/>
      </c>
      <c r="K754" s="5">
        <f>ABS(IF(J754="JUIST","1","0"))</f>
        <v>0</v>
      </c>
      <c r="L754" s="3"/>
      <c r="M754" s="1"/>
      <c r="N754" s="1"/>
    </row>
    <row r="755" spans="1:14" x14ac:dyDescent="0.2">
      <c r="A755" s="1"/>
      <c r="B755" s="67"/>
      <c r="C755" s="3"/>
      <c r="D755" s="1"/>
      <c r="E755" s="1"/>
      <c r="F755" s="1"/>
      <c r="G755" s="1"/>
      <c r="H755" s="1"/>
      <c r="I755" s="1"/>
      <c r="J755" s="5" t="str">
        <f>IF(F752="x","FOUT","")</f>
        <v/>
      </c>
      <c r="K755" s="5">
        <f>ABS(IF(J755="JUIST","1","0"))</f>
        <v>0</v>
      </c>
      <c r="L755" s="3">
        <v>1</v>
      </c>
      <c r="M755" s="1"/>
      <c r="N755" s="1"/>
    </row>
    <row r="756" spans="1:14" x14ac:dyDescent="0.2">
      <c r="A756" s="1"/>
      <c r="B756" s="82" t="s">
        <v>1033</v>
      </c>
      <c r="C756" s="318" t="s">
        <v>995</v>
      </c>
      <c r="D756" s="3"/>
      <c r="E756" s="3"/>
      <c r="F756" s="3"/>
      <c r="G756" s="1"/>
      <c r="H756" s="1"/>
      <c r="I756" s="1"/>
      <c r="K756" s="1"/>
      <c r="L756" s="3"/>
      <c r="M756" s="1"/>
      <c r="N756" s="1"/>
    </row>
    <row r="757" spans="1:14" x14ac:dyDescent="0.2">
      <c r="A757" s="1"/>
      <c r="B757" s="3" t="str">
        <f>IF(C756="x",J757,"")</f>
        <v/>
      </c>
      <c r="C757" s="1"/>
      <c r="D757" s="1"/>
      <c r="E757" s="1"/>
      <c r="G757" s="1"/>
      <c r="H757" s="1"/>
      <c r="I757" s="1"/>
      <c r="J757" s="73" t="str">
        <f>IF(C756="x","Het juiste antwoord is:  A.","")</f>
        <v/>
      </c>
      <c r="K757" s="1"/>
      <c r="L757" s="3" t="s">
        <v>995</v>
      </c>
      <c r="M757" s="1"/>
      <c r="N757" s="1"/>
    </row>
    <row r="758" spans="1:14" x14ac:dyDescent="0.2">
      <c r="A758" s="14"/>
      <c r="B758" s="14"/>
      <c r="C758" s="14"/>
      <c r="D758" s="180"/>
      <c r="E758" s="14"/>
      <c r="F758" s="14"/>
      <c r="G758" s="14"/>
      <c r="H758" s="14"/>
      <c r="I758" s="14"/>
      <c r="K758" s="1"/>
      <c r="L758" s="3"/>
      <c r="M758" s="1"/>
      <c r="N758" s="1"/>
    </row>
    <row r="759" spans="1:14" x14ac:dyDescent="0.2">
      <c r="A759" s="1"/>
      <c r="B759" s="1"/>
      <c r="C759" s="1"/>
      <c r="D759" s="1"/>
      <c r="E759" s="1"/>
      <c r="F759" s="1"/>
      <c r="G759" s="1"/>
      <c r="H759" s="1"/>
      <c r="I759" s="1"/>
      <c r="J759" s="1"/>
      <c r="K759" s="1"/>
      <c r="L759" s="3"/>
      <c r="M759" s="1"/>
      <c r="N759" s="1"/>
    </row>
    <row r="760" spans="1:14" x14ac:dyDescent="0.2">
      <c r="A760" s="67" t="s">
        <v>708</v>
      </c>
      <c r="B760" s="1" t="s">
        <v>700</v>
      </c>
      <c r="C760" s="1"/>
      <c r="D760" s="1"/>
      <c r="E760" s="1"/>
      <c r="F760" s="1"/>
      <c r="G760" s="1"/>
      <c r="H760" s="1"/>
      <c r="I760" s="1"/>
      <c r="J760" s="5" t="str">
        <f>IF(D765="x","JUIST","")</f>
        <v/>
      </c>
      <c r="K760" s="5">
        <f>ABS(IF(J760="JUIST","1","0"))</f>
        <v>0</v>
      </c>
      <c r="L760" s="3">
        <v>1</v>
      </c>
      <c r="M760" s="1"/>
      <c r="N760" s="1"/>
    </row>
    <row r="761" spans="1:14" x14ac:dyDescent="0.2">
      <c r="A761" s="1"/>
      <c r="B761" s="1" t="s">
        <v>701</v>
      </c>
      <c r="C761" s="1"/>
      <c r="D761" s="1"/>
      <c r="E761" s="1"/>
      <c r="F761" s="1"/>
      <c r="G761" s="1"/>
      <c r="H761" s="1"/>
      <c r="I761" s="1"/>
      <c r="J761" s="5" t="str">
        <f>IF(C766="x","JUIST","")</f>
        <v/>
      </c>
      <c r="K761" s="5">
        <f>ABS(IF(J761="JUIST","1","0"))</f>
        <v>0</v>
      </c>
      <c r="L761" s="3">
        <v>1</v>
      </c>
      <c r="M761" s="1"/>
      <c r="N761" s="1"/>
    </row>
    <row r="762" spans="1:14" x14ac:dyDescent="0.2">
      <c r="A762" s="1"/>
      <c r="B762" s="1" t="s">
        <v>2384</v>
      </c>
      <c r="C762" s="1"/>
      <c r="D762" s="1"/>
      <c r="E762" s="1"/>
      <c r="F762" s="1"/>
      <c r="G762" s="1"/>
      <c r="H762" s="1"/>
      <c r="I762" s="1"/>
      <c r="J762" s="5" t="str">
        <f>IF(E767="x","JUIST","")</f>
        <v/>
      </c>
      <c r="K762" s="5">
        <f>ABS(IF(J762="JUIST","1","0"))</f>
        <v>0</v>
      </c>
      <c r="L762" s="3">
        <v>1</v>
      </c>
      <c r="M762" s="1"/>
      <c r="N762" s="1"/>
    </row>
    <row r="763" spans="1:14" x14ac:dyDescent="0.2">
      <c r="A763" s="1"/>
      <c r="B763" s="1" t="s">
        <v>693</v>
      </c>
      <c r="C763" s="1"/>
      <c r="D763" s="1"/>
      <c r="E763" s="1"/>
      <c r="F763" s="1"/>
      <c r="G763" s="1"/>
      <c r="H763" s="1"/>
      <c r="I763" s="1"/>
      <c r="J763" s="1"/>
      <c r="K763" s="1"/>
      <c r="L763" s="3"/>
      <c r="M763" s="1"/>
      <c r="N763" s="1"/>
    </row>
    <row r="764" spans="1:14" ht="13.5" thickBot="1" x14ac:dyDescent="0.25">
      <c r="A764" s="1"/>
      <c r="B764" s="1" t="s">
        <v>995</v>
      </c>
      <c r="C764" s="92" t="s">
        <v>697</v>
      </c>
      <c r="D764" s="92" t="s">
        <v>698</v>
      </c>
      <c r="E764" s="351" t="s">
        <v>699</v>
      </c>
      <c r="F764" s="1"/>
      <c r="G764" s="1"/>
      <c r="H764" s="1"/>
      <c r="I764" s="1"/>
      <c r="J764" s="1"/>
      <c r="K764" s="1"/>
      <c r="L764" s="3"/>
      <c r="M764" s="1"/>
      <c r="N764" s="1"/>
    </row>
    <row r="765" spans="1:14" ht="13.5" thickTop="1" x14ac:dyDescent="0.2">
      <c r="A765" s="6" t="s">
        <v>999</v>
      </c>
      <c r="B765" s="113" t="s">
        <v>694</v>
      </c>
      <c r="C765" s="290" t="s">
        <v>995</v>
      </c>
      <c r="D765" s="348" t="s">
        <v>995</v>
      </c>
      <c r="E765" s="290" t="s">
        <v>995</v>
      </c>
      <c r="F765" s="1"/>
      <c r="G765" s="1"/>
      <c r="H765" s="1"/>
      <c r="I765" s="1"/>
      <c r="J765" s="1" t="s">
        <v>995</v>
      </c>
      <c r="K765" s="1"/>
      <c r="L765" s="3"/>
      <c r="M765" s="1"/>
      <c r="N765" s="1"/>
    </row>
    <row r="766" spans="1:14" x14ac:dyDescent="0.2">
      <c r="A766" s="6" t="s">
        <v>1000</v>
      </c>
      <c r="B766" s="113" t="s">
        <v>695</v>
      </c>
      <c r="C766" s="349" t="s">
        <v>995</v>
      </c>
      <c r="D766" s="10" t="s">
        <v>995</v>
      </c>
      <c r="E766" s="10" t="s">
        <v>995</v>
      </c>
      <c r="F766" s="1"/>
      <c r="G766" s="1"/>
      <c r="H766" s="1"/>
      <c r="I766" s="1"/>
      <c r="J766" s="1"/>
      <c r="K766" s="1"/>
      <c r="L766" s="3"/>
      <c r="M766" s="1"/>
      <c r="N766" s="1"/>
    </row>
    <row r="767" spans="1:14" x14ac:dyDescent="0.2">
      <c r="A767" s="6" t="s">
        <v>1001</v>
      </c>
      <c r="B767" s="113" t="s">
        <v>696</v>
      </c>
      <c r="C767" s="29" t="s">
        <v>995</v>
      </c>
      <c r="D767" s="341" t="s">
        <v>995</v>
      </c>
      <c r="E767" s="350" t="s">
        <v>995</v>
      </c>
      <c r="F767" s="1"/>
      <c r="G767" s="1"/>
      <c r="H767" s="1"/>
      <c r="I767" s="1"/>
      <c r="J767" s="1"/>
      <c r="K767" s="1"/>
      <c r="L767" s="3"/>
      <c r="M767" s="1"/>
      <c r="N767" s="1"/>
    </row>
    <row r="768" spans="1:14" x14ac:dyDescent="0.2">
      <c r="A768" s="1"/>
      <c r="B768" s="1"/>
      <c r="C768" s="1"/>
      <c r="D768" s="1"/>
      <c r="E768" s="1"/>
      <c r="F768" s="1"/>
      <c r="G768" s="1"/>
      <c r="H768" s="1"/>
      <c r="I768" s="1"/>
      <c r="J768" s="1"/>
      <c r="K768" s="1"/>
      <c r="L768" s="3"/>
      <c r="M768" s="1"/>
      <c r="N768" s="1"/>
    </row>
    <row r="769" spans="1:14" x14ac:dyDescent="0.2">
      <c r="A769" s="1"/>
      <c r="B769" s="82" t="s">
        <v>1033</v>
      </c>
      <c r="C769" s="318" t="s">
        <v>995</v>
      </c>
      <c r="D769" s="1"/>
      <c r="E769" s="1"/>
      <c r="F769" s="1"/>
      <c r="G769" s="1"/>
      <c r="H769" s="1"/>
      <c r="I769" s="1"/>
      <c r="J769" s="1"/>
      <c r="K769" s="1"/>
      <c r="L769" s="3"/>
      <c r="M769" s="1"/>
      <c r="N769" s="1"/>
    </row>
    <row r="770" spans="1:14" x14ac:dyDescent="0.2">
      <c r="A770" s="1"/>
      <c r="B770" s="1"/>
      <c r="C770" s="1"/>
      <c r="D770" s="1"/>
      <c r="E770" s="1"/>
      <c r="F770" s="1"/>
      <c r="G770" s="1"/>
      <c r="H770" s="1"/>
      <c r="I770" s="1"/>
      <c r="J770" s="1"/>
      <c r="K770" s="1"/>
      <c r="L770" s="3"/>
      <c r="M770" s="1"/>
      <c r="N770" s="1"/>
    </row>
    <row r="771" spans="1:14" x14ac:dyDescent="0.2">
      <c r="A771" s="14"/>
      <c r="B771" s="14"/>
      <c r="C771" s="14"/>
      <c r="D771" s="180"/>
      <c r="E771" s="14"/>
      <c r="F771" s="14"/>
      <c r="G771" s="14"/>
      <c r="H771" s="14"/>
      <c r="I771" s="14"/>
      <c r="J771" s="1"/>
      <c r="K771" s="1"/>
      <c r="L771" s="3"/>
      <c r="M771" s="1"/>
      <c r="N771" s="1"/>
    </row>
    <row r="772" spans="1:14" x14ac:dyDescent="0.2">
      <c r="A772" s="1"/>
      <c r="B772" s="1"/>
      <c r="C772" s="1"/>
      <c r="D772" s="1"/>
      <c r="E772" s="1"/>
      <c r="F772" s="1"/>
      <c r="G772" s="1"/>
      <c r="H772" s="1"/>
      <c r="I772" s="1"/>
      <c r="J772" s="5" t="e">
        <f>SEARCH("werkprocessen",E775)</f>
        <v>#VALUE!</v>
      </c>
      <c r="K772" s="1"/>
      <c r="L772" s="3"/>
      <c r="M772" s="1"/>
      <c r="N772" s="1"/>
    </row>
    <row r="773" spans="1:14" x14ac:dyDescent="0.2">
      <c r="A773" s="67" t="s">
        <v>716</v>
      </c>
      <c r="B773" s="1" t="s">
        <v>2385</v>
      </c>
      <c r="C773" s="1"/>
      <c r="D773" s="67" t="s">
        <v>2716</v>
      </c>
      <c r="E773" s="1"/>
      <c r="F773" s="1"/>
      <c r="G773" s="1"/>
      <c r="H773" s="1"/>
      <c r="I773" s="1"/>
      <c r="J773" s="5">
        <f>ABS(ISERR(J772))</f>
        <v>1</v>
      </c>
      <c r="K773" s="5">
        <f>ABS(IF(J773=0,"1","0"))</f>
        <v>0</v>
      </c>
      <c r="L773" s="3">
        <v>1</v>
      </c>
      <c r="M773" s="1"/>
      <c r="N773" s="1"/>
    </row>
    <row r="774" spans="1:14" x14ac:dyDescent="0.2">
      <c r="A774" s="1"/>
      <c r="B774" s="1" t="s">
        <v>705</v>
      </c>
      <c r="C774" s="1"/>
      <c r="D774" s="1"/>
      <c r="E774" s="1"/>
      <c r="F774" s="1"/>
      <c r="G774" s="1"/>
      <c r="H774" s="1"/>
      <c r="I774" s="1"/>
      <c r="J774" s="5" t="e">
        <f>SEARCH("resultaten",E776)</f>
        <v>#VALUE!</v>
      </c>
      <c r="K774" s="1"/>
      <c r="L774" s="3"/>
      <c r="M774" s="1"/>
      <c r="N774" s="1"/>
    </row>
    <row r="775" spans="1:14" x14ac:dyDescent="0.2">
      <c r="A775" s="1"/>
      <c r="B775" s="1" t="s">
        <v>703</v>
      </c>
      <c r="C775" s="1"/>
      <c r="D775" s="1" t="s">
        <v>995</v>
      </c>
      <c r="E775" s="10" t="s">
        <v>995</v>
      </c>
      <c r="F775" s="1"/>
      <c r="G775" s="1"/>
      <c r="H775" s="1"/>
      <c r="I775" s="1"/>
      <c r="J775" s="5">
        <f>ABS(ISERR(J774))</f>
        <v>1</v>
      </c>
      <c r="K775" s="5">
        <f>ABS(IF(J775=0,"1","0"))</f>
        <v>0</v>
      </c>
      <c r="L775" s="3">
        <v>1</v>
      </c>
      <c r="M775" s="1"/>
      <c r="N775" s="1"/>
    </row>
    <row r="776" spans="1:14" x14ac:dyDescent="0.2">
      <c r="A776" s="1"/>
      <c r="B776" s="1"/>
      <c r="C776" s="1"/>
      <c r="D776" s="1"/>
      <c r="E776" s="10" t="s">
        <v>995</v>
      </c>
      <c r="F776" s="1"/>
      <c r="G776" s="1"/>
      <c r="H776" s="1"/>
      <c r="I776" s="1"/>
      <c r="J776" s="5" t="e">
        <f>SEARCH("resultaten",E775)</f>
        <v>#VALUE!</v>
      </c>
      <c r="K776" s="1"/>
      <c r="L776" s="3"/>
      <c r="M776" s="1"/>
      <c r="N776" s="1"/>
    </row>
    <row r="777" spans="1:14" x14ac:dyDescent="0.2">
      <c r="A777" s="1"/>
      <c r="B777" s="1" t="s">
        <v>704</v>
      </c>
      <c r="C777" s="1"/>
      <c r="D777" s="1"/>
      <c r="E777" s="1" t="s">
        <v>995</v>
      </c>
      <c r="F777" s="1"/>
      <c r="G777" s="1"/>
      <c r="H777" s="1"/>
      <c r="I777" s="1"/>
      <c r="J777" s="5">
        <f>ABS(ISERR(J776))</f>
        <v>1</v>
      </c>
      <c r="K777" s="5">
        <f>ABS(IF(J777=0,"1","0"))</f>
        <v>0</v>
      </c>
      <c r="L777" s="3"/>
      <c r="M777" s="1"/>
      <c r="N777" s="1"/>
    </row>
    <row r="778" spans="1:14" x14ac:dyDescent="0.2">
      <c r="A778" s="1"/>
      <c r="B778" s="1" t="s">
        <v>2386</v>
      </c>
      <c r="C778" s="1"/>
      <c r="D778" s="1"/>
      <c r="E778" s="1" t="s">
        <v>995</v>
      </c>
      <c r="F778" s="1"/>
      <c r="G778" s="1"/>
      <c r="H778" s="1"/>
      <c r="I778" s="1"/>
      <c r="J778" s="5" t="e">
        <f>SEARCH("werkprocessen",E776)</f>
        <v>#VALUE!</v>
      </c>
      <c r="K778" s="1"/>
      <c r="L778" s="3"/>
      <c r="M778" s="1"/>
      <c r="N778" s="1"/>
    </row>
    <row r="779" spans="1:14" x14ac:dyDescent="0.2">
      <c r="A779" s="1"/>
      <c r="B779" s="1" t="s">
        <v>2627</v>
      </c>
      <c r="C779" s="1"/>
      <c r="D779" s="1"/>
      <c r="E779" s="1"/>
      <c r="F779" s="1"/>
      <c r="G779" s="1"/>
      <c r="H779" s="1"/>
      <c r="I779" s="1"/>
      <c r="J779" s="5">
        <f>ABS(ISERR(J778))</f>
        <v>1</v>
      </c>
      <c r="K779" s="5">
        <f>ABS(IF(J779=0,"1","0"))</f>
        <v>0</v>
      </c>
      <c r="L779" s="3"/>
      <c r="M779" s="1"/>
      <c r="N779" s="1"/>
    </row>
    <row r="780" spans="1:14" x14ac:dyDescent="0.2">
      <c r="A780" s="1"/>
      <c r="B780" s="1"/>
      <c r="C780" s="1"/>
      <c r="D780" s="1"/>
      <c r="E780" s="1"/>
      <c r="F780" s="1"/>
      <c r="G780" s="1"/>
      <c r="H780" s="1"/>
      <c r="I780" s="1"/>
      <c r="J780" s="1"/>
      <c r="K780" s="1"/>
      <c r="L780" s="3"/>
      <c r="M780" s="1"/>
      <c r="N780" s="1"/>
    </row>
    <row r="781" spans="1:14" x14ac:dyDescent="0.2">
      <c r="A781" s="1"/>
      <c r="B781" s="82" t="s">
        <v>1033</v>
      </c>
      <c r="C781" s="318" t="s">
        <v>995</v>
      </c>
      <c r="D781" s="3"/>
      <c r="E781" s="3"/>
      <c r="F781" s="3"/>
      <c r="G781" s="1"/>
      <c r="H781" s="1"/>
      <c r="I781" s="1"/>
      <c r="K781" s="1"/>
      <c r="L781" s="3"/>
      <c r="M781" s="1"/>
      <c r="N781" s="1"/>
    </row>
    <row r="782" spans="1:14" x14ac:dyDescent="0.2">
      <c r="A782" s="1"/>
      <c r="B782" s="3" t="str">
        <f>IF(C781="x",J782,"")</f>
        <v/>
      </c>
      <c r="C782" s="1"/>
      <c r="D782" s="1"/>
      <c r="E782" s="1"/>
      <c r="G782" s="1"/>
      <c r="H782" s="1"/>
      <c r="I782" s="1"/>
      <c r="J782" s="73" t="str">
        <f>IF(C781="x","Standaardisatie van werkprocessen en resultaten","")</f>
        <v/>
      </c>
      <c r="K782" s="1"/>
      <c r="L782" s="3"/>
      <c r="M782" s="1"/>
      <c r="N782" s="1"/>
    </row>
    <row r="783" spans="1:14" x14ac:dyDescent="0.2">
      <c r="A783" s="14"/>
      <c r="B783" s="14"/>
      <c r="C783" s="14"/>
      <c r="D783" s="180"/>
      <c r="E783" s="14"/>
      <c r="F783" s="14"/>
      <c r="G783" s="14"/>
      <c r="H783" s="14"/>
      <c r="I783" s="14"/>
      <c r="J783" s="1"/>
      <c r="K783" s="1"/>
      <c r="L783" s="3"/>
      <c r="M783" s="1"/>
      <c r="N783" s="1"/>
    </row>
    <row r="784" spans="1:14" x14ac:dyDescent="0.2">
      <c r="A784" s="1"/>
      <c r="B784" s="1"/>
      <c r="C784" s="1"/>
      <c r="D784" s="1"/>
      <c r="E784" s="1"/>
      <c r="F784" s="1"/>
      <c r="G784" s="1"/>
      <c r="H784" s="1"/>
      <c r="I784" s="1"/>
      <c r="J784" s="1"/>
      <c r="K784" s="1"/>
      <c r="L784" s="3"/>
      <c r="M784" s="1"/>
      <c r="N784" s="1"/>
    </row>
    <row r="785" spans="1:14" ht="26.25" thickBot="1" x14ac:dyDescent="0.25">
      <c r="A785" s="67" t="s">
        <v>723</v>
      </c>
      <c r="B785" s="103" t="s">
        <v>2387</v>
      </c>
      <c r="C785" s="102" t="s">
        <v>446</v>
      </c>
      <c r="D785" s="102" t="s">
        <v>1623</v>
      </c>
      <c r="E785" s="526" t="s">
        <v>2119</v>
      </c>
      <c r="F785" s="527" t="s">
        <v>2120</v>
      </c>
      <c r="G785" s="1"/>
      <c r="H785" s="1"/>
      <c r="I785" s="1"/>
      <c r="J785" s="1"/>
      <c r="K785" s="1"/>
      <c r="L785" s="3"/>
      <c r="M785" s="1"/>
      <c r="N785" s="1"/>
    </row>
    <row r="786" spans="1:14" ht="13.5" thickTop="1" x14ac:dyDescent="0.2">
      <c r="A786" s="1"/>
      <c r="B786" s="2" t="s">
        <v>2388</v>
      </c>
      <c r="C786" s="425" t="s">
        <v>995</v>
      </c>
      <c r="D786" s="425" t="s">
        <v>995</v>
      </c>
      <c r="E786" s="425" t="s">
        <v>995</v>
      </c>
      <c r="F786" s="425" t="s">
        <v>995</v>
      </c>
      <c r="G786" s="1"/>
      <c r="H786" s="1"/>
      <c r="I786" s="1"/>
      <c r="J786" s="5" t="str">
        <f>IF(C786="x","FOUT","")</f>
        <v/>
      </c>
      <c r="K786" s="5">
        <f>ABS(IF(J786="JUIST","1","0"))</f>
        <v>0</v>
      </c>
      <c r="L786" s="3"/>
      <c r="M786" s="1"/>
      <c r="N786" s="1"/>
    </row>
    <row r="787" spans="1:14" x14ac:dyDescent="0.2">
      <c r="A787" s="1"/>
      <c r="B787" s="61" t="s">
        <v>2389</v>
      </c>
      <c r="C787" s="3" t="s">
        <v>475</v>
      </c>
      <c r="D787" s="3" t="s">
        <v>476</v>
      </c>
      <c r="E787" s="3" t="s">
        <v>477</v>
      </c>
      <c r="F787" s="3" t="s">
        <v>478</v>
      </c>
      <c r="G787" s="1"/>
      <c r="H787" s="1"/>
      <c r="I787" s="1"/>
      <c r="J787" s="5" t="str">
        <f>IF(D786="x","FOUT","")</f>
        <v/>
      </c>
      <c r="K787" s="5">
        <f>ABS(IF(J787="JUIST","1","0"))</f>
        <v>0</v>
      </c>
      <c r="L787" s="3"/>
      <c r="M787" s="1"/>
      <c r="N787" s="1"/>
    </row>
    <row r="788" spans="1:14" x14ac:dyDescent="0.2">
      <c r="A788" s="1"/>
      <c r="B788" t="s">
        <v>2390</v>
      </c>
      <c r="C788" s="1"/>
      <c r="D788" s="1"/>
      <c r="E788" s="1"/>
      <c r="F788" s="1"/>
      <c r="G788" s="1"/>
      <c r="H788" s="1"/>
      <c r="I788" s="1"/>
      <c r="J788" s="5" t="str">
        <f>IF(E786="x","JUIST","")</f>
        <v/>
      </c>
      <c r="K788" s="5">
        <f>ABS(IF(J788="JUIST","1","0"))</f>
        <v>0</v>
      </c>
      <c r="L788" s="3">
        <v>1</v>
      </c>
      <c r="M788" s="1"/>
      <c r="N788" s="1"/>
    </row>
    <row r="789" spans="1:14" x14ac:dyDescent="0.2">
      <c r="A789" s="1"/>
      <c r="B789" s="67"/>
      <c r="C789" s="3"/>
      <c r="D789" s="1"/>
      <c r="E789" s="1"/>
      <c r="F789" s="1"/>
      <c r="G789" s="1"/>
      <c r="H789" s="1"/>
      <c r="I789" s="1"/>
      <c r="J789" s="5" t="str">
        <f>IF(F786="x","FOUT","")</f>
        <v/>
      </c>
      <c r="K789" s="5">
        <f>ABS(IF(J789="JUIST","1","0"))</f>
        <v>0</v>
      </c>
      <c r="L789" s="3"/>
      <c r="M789" s="1"/>
      <c r="N789" s="1"/>
    </row>
    <row r="790" spans="1:14" x14ac:dyDescent="0.2">
      <c r="A790" s="1"/>
      <c r="B790" s="82" t="s">
        <v>1033</v>
      </c>
      <c r="C790" s="318" t="s">
        <v>995</v>
      </c>
      <c r="D790" s="3"/>
      <c r="E790" s="3"/>
      <c r="F790" s="3"/>
      <c r="G790" s="1"/>
      <c r="H790" s="1"/>
      <c r="I790" s="1"/>
      <c r="K790" s="1"/>
      <c r="L790" s="3"/>
      <c r="M790" s="1"/>
      <c r="N790" s="1"/>
    </row>
    <row r="791" spans="1:14" x14ac:dyDescent="0.2">
      <c r="A791" s="1"/>
      <c r="B791" s="3" t="str">
        <f>IF(C790="x",J791,"")</f>
        <v/>
      </c>
      <c r="C791" s="1"/>
      <c r="D791" s="1"/>
      <c r="E791" s="1"/>
      <c r="G791" s="1"/>
      <c r="H791" s="1"/>
      <c r="I791" s="1"/>
      <c r="J791" s="73" t="str">
        <f>IF(C790="x","Het juiste antwoord is:  C.","")</f>
        <v/>
      </c>
      <c r="K791" s="1"/>
      <c r="L791" s="3"/>
      <c r="M791" s="1"/>
      <c r="N791" s="1"/>
    </row>
    <row r="792" spans="1:14" x14ac:dyDescent="0.2">
      <c r="A792" s="14"/>
      <c r="B792" s="14"/>
      <c r="C792" s="14"/>
      <c r="D792" s="180"/>
      <c r="E792" s="14"/>
      <c r="F792" s="14"/>
      <c r="G792" s="14"/>
      <c r="H792" s="14"/>
      <c r="I792" s="14"/>
      <c r="J792" s="1"/>
      <c r="K792" s="1"/>
      <c r="L792" s="3"/>
      <c r="M792" s="1"/>
      <c r="N792" s="1"/>
    </row>
    <row r="793" spans="1:14" x14ac:dyDescent="0.2">
      <c r="A793" s="1"/>
      <c r="B793" s="1"/>
      <c r="C793" s="1"/>
      <c r="D793" s="1"/>
      <c r="E793" s="1"/>
      <c r="F793" s="1"/>
      <c r="G793" s="1"/>
      <c r="H793" s="1"/>
      <c r="I793" s="1"/>
      <c r="J793" s="1"/>
      <c r="K793" s="1"/>
      <c r="L793" s="3"/>
      <c r="M793" s="1"/>
      <c r="N793" s="1"/>
    </row>
    <row r="794" spans="1:14" ht="26.25" thickBot="1" x14ac:dyDescent="0.25">
      <c r="A794" s="67" t="s">
        <v>724</v>
      </c>
      <c r="B794" s="103" t="s">
        <v>2391</v>
      </c>
      <c r="C794" s="102" t="s">
        <v>446</v>
      </c>
      <c r="D794" s="102" t="s">
        <v>1623</v>
      </c>
      <c r="E794" s="526" t="s">
        <v>2119</v>
      </c>
      <c r="F794" s="527" t="s">
        <v>2120</v>
      </c>
      <c r="G794" s="1"/>
      <c r="H794" s="1"/>
      <c r="I794" s="1"/>
      <c r="J794" s="1"/>
      <c r="K794" s="1"/>
      <c r="L794" s="3"/>
      <c r="M794" s="1"/>
      <c r="N794" s="1"/>
    </row>
    <row r="795" spans="1:14" ht="13.5" thickTop="1" x14ac:dyDescent="0.2">
      <c r="A795" s="1"/>
      <c r="B795" s="2" t="s">
        <v>2392</v>
      </c>
      <c r="C795" s="425" t="s">
        <v>995</v>
      </c>
      <c r="D795" s="425" t="s">
        <v>995</v>
      </c>
      <c r="E795" s="425" t="s">
        <v>995</v>
      </c>
      <c r="F795" s="425" t="s">
        <v>995</v>
      </c>
      <c r="G795" s="1"/>
      <c r="H795" s="1"/>
      <c r="I795" s="1"/>
      <c r="J795" s="5" t="str">
        <f>IF(C795="x","FOUT","")</f>
        <v/>
      </c>
      <c r="K795" s="5">
        <f>ABS(IF(J795="JUIST","1","0"))</f>
        <v>0</v>
      </c>
      <c r="L795" s="3"/>
      <c r="M795" s="1"/>
      <c r="N795" s="1"/>
    </row>
    <row r="796" spans="1:14" x14ac:dyDescent="0.2">
      <c r="A796" s="1"/>
      <c r="B796" s="61" t="s">
        <v>2393</v>
      </c>
      <c r="C796" s="3" t="s">
        <v>475</v>
      </c>
      <c r="D796" s="3" t="s">
        <v>476</v>
      </c>
      <c r="E796" s="3" t="s">
        <v>477</v>
      </c>
      <c r="F796" s="3" t="s">
        <v>478</v>
      </c>
      <c r="G796" s="1"/>
      <c r="H796" s="1"/>
      <c r="I796" s="1"/>
      <c r="J796" s="5" t="str">
        <f>IF(D795="x","JUIST","")</f>
        <v/>
      </c>
      <c r="K796" s="5">
        <f>ABS(IF(J796="JUIST","1","0"))</f>
        <v>0</v>
      </c>
      <c r="L796" s="3">
        <v>1</v>
      </c>
      <c r="M796" s="1"/>
      <c r="N796" s="1"/>
    </row>
    <row r="797" spans="1:14" x14ac:dyDescent="0.2">
      <c r="A797" s="1"/>
      <c r="B797" s="428" t="s">
        <v>2394</v>
      </c>
      <c r="C797" s="1"/>
      <c r="D797" s="1"/>
      <c r="E797" s="1"/>
      <c r="F797" s="1"/>
      <c r="G797" s="1"/>
      <c r="H797" s="1"/>
      <c r="I797" s="1"/>
      <c r="J797" s="5" t="str">
        <f>IF(E795="x","FOUT","")</f>
        <v/>
      </c>
      <c r="K797" s="5">
        <f>ABS(IF(J797="JUIST","1","0"))</f>
        <v>0</v>
      </c>
      <c r="L797" s="3"/>
      <c r="M797" s="1"/>
      <c r="N797" s="1"/>
    </row>
    <row r="798" spans="1:14" x14ac:dyDescent="0.2">
      <c r="A798" s="1"/>
      <c r="B798" s="67"/>
      <c r="C798" s="3"/>
      <c r="D798" s="1"/>
      <c r="E798" s="1"/>
      <c r="F798" s="1"/>
      <c r="G798" s="1"/>
      <c r="H798" s="1"/>
      <c r="I798" s="1"/>
      <c r="J798" s="5" t="str">
        <f>IF(F795="x","FOUT","")</f>
        <v/>
      </c>
      <c r="K798" s="5">
        <f>ABS(IF(J798="JUIST","1","0"))</f>
        <v>0</v>
      </c>
      <c r="L798" s="3"/>
      <c r="M798" s="1"/>
      <c r="N798" s="1"/>
    </row>
    <row r="799" spans="1:14" x14ac:dyDescent="0.2">
      <c r="A799" s="1"/>
      <c r="B799" s="82" t="s">
        <v>1033</v>
      </c>
      <c r="C799" s="318" t="s">
        <v>995</v>
      </c>
      <c r="D799" s="3"/>
      <c r="E799" s="3"/>
      <c r="F799" s="3"/>
      <c r="G799" s="1"/>
      <c r="H799" s="1"/>
      <c r="I799" s="1"/>
      <c r="K799" s="1"/>
      <c r="L799" s="3"/>
      <c r="M799" s="1"/>
      <c r="N799" s="1"/>
    </row>
    <row r="800" spans="1:14" x14ac:dyDescent="0.2">
      <c r="A800" s="1"/>
      <c r="B800" s="3" t="str">
        <f>IF(C799="x",J800,"")</f>
        <v/>
      </c>
      <c r="C800" s="1"/>
      <c r="D800" s="1"/>
      <c r="E800" s="1"/>
      <c r="G800" s="1"/>
      <c r="H800" s="1"/>
      <c r="I800" s="1"/>
      <c r="J800" s="73" t="str">
        <f>IF(C799="x","Het juiste antwoord is:  B.","")</f>
        <v/>
      </c>
      <c r="K800" s="1"/>
      <c r="L800" s="3"/>
      <c r="M800" s="1"/>
      <c r="N800" s="1"/>
    </row>
    <row r="801" spans="1:14" x14ac:dyDescent="0.2">
      <c r="A801" s="14"/>
      <c r="B801" s="14"/>
      <c r="C801" s="14"/>
      <c r="D801" s="180"/>
      <c r="E801" s="14"/>
      <c r="F801" s="14"/>
      <c r="G801" s="14"/>
      <c r="H801" s="14"/>
      <c r="I801" s="14"/>
      <c r="J801" s="1"/>
      <c r="K801" s="1"/>
      <c r="L801" s="3"/>
      <c r="M801" s="1"/>
      <c r="N801" s="1"/>
    </row>
    <row r="802" spans="1:14" x14ac:dyDescent="0.2">
      <c r="A802" s="1"/>
      <c r="B802" s="1"/>
      <c r="C802" s="1"/>
      <c r="D802" s="1"/>
      <c r="E802" s="1"/>
      <c r="F802" s="1"/>
      <c r="G802" s="1"/>
      <c r="H802" s="1"/>
      <c r="I802" s="1"/>
      <c r="J802" s="5" t="e">
        <f>SEARCH("doelen",D805)</f>
        <v>#VALUE!</v>
      </c>
      <c r="K802" s="1"/>
      <c r="L802" s="3"/>
      <c r="M802" s="1"/>
      <c r="N802" s="1"/>
    </row>
    <row r="803" spans="1:14" x14ac:dyDescent="0.2">
      <c r="A803" s="67" t="s">
        <v>727</v>
      </c>
      <c r="B803" s="1" t="s">
        <v>2395</v>
      </c>
      <c r="C803" s="1"/>
      <c r="D803" s="1" t="s">
        <v>714</v>
      </c>
      <c r="E803" s="1"/>
      <c r="F803" s="1"/>
      <c r="G803" s="1"/>
      <c r="H803" s="1"/>
      <c r="I803" s="1"/>
      <c r="J803" s="5">
        <f>ABS(ISERR(J802))</f>
        <v>1</v>
      </c>
      <c r="K803" s="5">
        <f>ABS(IF(J803=0,"1","0"))</f>
        <v>0</v>
      </c>
      <c r="L803" s="3"/>
      <c r="M803" s="1"/>
      <c r="N803" s="1"/>
    </row>
    <row r="804" spans="1:14" x14ac:dyDescent="0.2">
      <c r="A804" s="1"/>
      <c r="B804" s="1" t="s">
        <v>2396</v>
      </c>
      <c r="C804" s="1"/>
      <c r="D804" s="1"/>
      <c r="E804" s="1"/>
      <c r="F804" s="1"/>
      <c r="G804" s="1"/>
      <c r="H804" s="1"/>
      <c r="I804" s="1"/>
      <c r="J804" s="1"/>
      <c r="K804" s="1"/>
      <c r="L804" s="3"/>
      <c r="M804" s="1"/>
      <c r="N804" s="1"/>
    </row>
    <row r="805" spans="1:14" x14ac:dyDescent="0.2">
      <c r="A805" s="1"/>
      <c r="B805" s="67" t="s">
        <v>2717</v>
      </c>
      <c r="C805" s="1"/>
      <c r="D805" s="10" t="s">
        <v>995</v>
      </c>
      <c r="E805" s="1"/>
      <c r="F805" s="1"/>
      <c r="G805" s="1"/>
      <c r="H805" s="1"/>
      <c r="I805" s="1"/>
      <c r="J805" s="1"/>
      <c r="K805" s="1"/>
      <c r="L805" s="3"/>
      <c r="M805" s="1"/>
      <c r="N805" s="1"/>
    </row>
    <row r="806" spans="1:14" x14ac:dyDescent="0.2">
      <c r="A806" s="1"/>
      <c r="B806" s="1"/>
      <c r="C806" s="1"/>
      <c r="D806" s="1"/>
      <c r="E806" s="1"/>
      <c r="F806" s="1"/>
      <c r="G806" s="1"/>
      <c r="H806" s="1"/>
      <c r="I806" s="1"/>
      <c r="J806" s="1"/>
      <c r="K806" s="1"/>
      <c r="L806" s="3"/>
      <c r="M806" s="1"/>
      <c r="N806" s="1"/>
    </row>
    <row r="807" spans="1:14" x14ac:dyDescent="0.2">
      <c r="A807" s="1"/>
      <c r="B807" s="1" t="s">
        <v>709</v>
      </c>
      <c r="C807" s="1"/>
      <c r="D807" s="1"/>
      <c r="E807" s="1"/>
      <c r="F807" s="1"/>
      <c r="G807" s="1"/>
      <c r="H807" s="1"/>
      <c r="I807" s="1"/>
      <c r="J807" s="1"/>
      <c r="K807" s="1"/>
      <c r="L807" s="3"/>
      <c r="M807" s="1"/>
      <c r="N807" s="1"/>
    </row>
    <row r="808" spans="1:14" x14ac:dyDescent="0.2">
      <c r="A808" s="1"/>
      <c r="B808" s="1" t="s">
        <v>710</v>
      </c>
      <c r="C808" s="1"/>
      <c r="D808" s="1"/>
      <c r="E808" s="1"/>
      <c r="F808" s="1"/>
      <c r="G808" s="1"/>
      <c r="H808" s="1"/>
      <c r="I808" s="1"/>
      <c r="J808" s="1"/>
      <c r="K808" s="1"/>
      <c r="L808" s="3"/>
      <c r="M808" s="1"/>
      <c r="N808" s="1"/>
    </row>
    <row r="809" spans="1:14" x14ac:dyDescent="0.2">
      <c r="A809" s="1"/>
      <c r="B809" s="1" t="s">
        <v>711</v>
      </c>
      <c r="C809" s="1"/>
      <c r="D809" s="1"/>
      <c r="E809" s="1"/>
      <c r="F809" s="1"/>
      <c r="G809" s="1"/>
      <c r="H809" s="1"/>
      <c r="I809" s="1"/>
      <c r="J809" s="1"/>
      <c r="K809" s="1"/>
      <c r="L809" s="3"/>
      <c r="M809" s="1"/>
      <c r="N809" s="1"/>
    </row>
    <row r="810" spans="1:14" x14ac:dyDescent="0.2">
      <c r="A810" s="1"/>
      <c r="B810" s="1" t="s">
        <v>712</v>
      </c>
      <c r="C810" s="1"/>
      <c r="D810" s="1"/>
      <c r="E810" s="1"/>
      <c r="F810" s="1"/>
      <c r="G810" s="1"/>
      <c r="H810" s="1"/>
      <c r="I810" s="1"/>
      <c r="J810" s="1"/>
      <c r="K810" s="1"/>
      <c r="L810" s="3"/>
      <c r="M810" s="1"/>
      <c r="N810" s="1"/>
    </row>
    <row r="811" spans="1:14" x14ac:dyDescent="0.2">
      <c r="A811" s="1"/>
      <c r="B811" s="1" t="s">
        <v>713</v>
      </c>
      <c r="C811" s="1"/>
      <c r="D811" s="1"/>
      <c r="E811" s="1"/>
      <c r="F811" s="1"/>
      <c r="G811" s="1"/>
      <c r="H811" s="1"/>
      <c r="I811" s="1"/>
      <c r="J811" s="1"/>
      <c r="K811" s="1"/>
      <c r="L811" s="3"/>
      <c r="M811" s="1"/>
      <c r="N811" s="1"/>
    </row>
    <row r="812" spans="1:14" x14ac:dyDescent="0.2">
      <c r="A812" s="1"/>
      <c r="B812" s="1" t="s">
        <v>715</v>
      </c>
      <c r="C812" s="1"/>
      <c r="D812" s="1"/>
      <c r="E812" s="1"/>
      <c r="F812" s="1"/>
      <c r="G812" s="1"/>
      <c r="H812" s="1"/>
      <c r="I812" s="1"/>
      <c r="J812" s="1"/>
      <c r="K812" s="1"/>
      <c r="L812" s="3"/>
      <c r="M812" s="1"/>
      <c r="N812" s="1"/>
    </row>
    <row r="813" spans="1:14" x14ac:dyDescent="0.2">
      <c r="A813" s="1"/>
      <c r="B813" s="1"/>
      <c r="C813" s="1"/>
      <c r="D813" s="1"/>
      <c r="E813" s="1"/>
      <c r="F813" s="1"/>
      <c r="G813" s="1"/>
      <c r="H813" s="1"/>
      <c r="I813" s="1"/>
      <c r="J813" s="1"/>
      <c r="K813" s="1"/>
      <c r="L813" s="3"/>
      <c r="M813" s="1"/>
      <c r="N813" s="1"/>
    </row>
    <row r="814" spans="1:14" x14ac:dyDescent="0.2">
      <c r="A814" s="1"/>
      <c r="B814" s="82" t="s">
        <v>1033</v>
      </c>
      <c r="C814" s="318" t="s">
        <v>995</v>
      </c>
      <c r="D814" s="3"/>
      <c r="E814" s="3"/>
      <c r="F814" s="3"/>
      <c r="G814" s="1"/>
      <c r="H814" s="1"/>
      <c r="I814" s="1"/>
      <c r="K814" s="1"/>
      <c r="L814" s="3"/>
      <c r="M814" s="1"/>
      <c r="N814" s="1"/>
    </row>
    <row r="815" spans="1:14" x14ac:dyDescent="0.2">
      <c r="A815" s="1"/>
      <c r="B815" s="3" t="str">
        <f>IF(C814="x",J815,"")</f>
        <v/>
      </c>
      <c r="C815" s="1"/>
      <c r="D815" s="1"/>
      <c r="E815" s="1"/>
      <c r="G815" s="1"/>
      <c r="H815" s="1"/>
      <c r="I815" s="1"/>
      <c r="J815" s="73" t="str">
        <f>IF(C814="x","De doelen! (leer/ontwikkel/competentie/personeels-doelen).","")</f>
        <v/>
      </c>
      <c r="K815" s="1"/>
      <c r="L815" s="3"/>
      <c r="M815" s="1"/>
      <c r="N815" s="1"/>
    </row>
    <row r="816" spans="1:14" x14ac:dyDescent="0.2">
      <c r="A816" s="14"/>
      <c r="B816" s="14"/>
      <c r="C816" s="14"/>
      <c r="D816" s="180"/>
      <c r="E816" s="14"/>
      <c r="F816" s="14"/>
      <c r="G816" s="14"/>
      <c r="H816" s="14"/>
      <c r="I816" s="14"/>
      <c r="J816" s="1"/>
      <c r="K816" s="1"/>
      <c r="L816" s="3"/>
      <c r="M816" s="1"/>
      <c r="N816" s="1"/>
    </row>
    <row r="817" spans="1:14" x14ac:dyDescent="0.2">
      <c r="A817" s="1"/>
      <c r="B817" s="1"/>
      <c r="C817" s="1"/>
      <c r="D817" s="1"/>
      <c r="E817" s="1"/>
      <c r="F817" s="1"/>
      <c r="G817" s="1"/>
      <c r="H817" s="1"/>
      <c r="I817" s="1"/>
      <c r="J817" s="5" t="e">
        <f>SEARCH("intrinsieke",D820)</f>
        <v>#VALUE!</v>
      </c>
      <c r="K817" s="1"/>
      <c r="L817" s="3" t="s">
        <v>995</v>
      </c>
      <c r="M817" s="1"/>
      <c r="N817" s="1"/>
    </row>
    <row r="818" spans="1:14" x14ac:dyDescent="0.2">
      <c r="A818" s="67" t="s">
        <v>729</v>
      </c>
      <c r="B818" s="67" t="s">
        <v>717</v>
      </c>
      <c r="C818" s="1"/>
      <c r="D818" s="1"/>
      <c r="E818" s="1"/>
      <c r="F818" s="61" t="s">
        <v>720</v>
      </c>
      <c r="G818" s="1"/>
      <c r="H818" s="1"/>
      <c r="I818" s="1"/>
      <c r="J818" s="5">
        <f>ABS(ISERR(J817))</f>
        <v>1</v>
      </c>
      <c r="K818" s="5">
        <f>ABS(IF(J818=0,"1","0"))</f>
        <v>0</v>
      </c>
      <c r="L818" s="3">
        <v>1</v>
      </c>
      <c r="M818" s="1" t="s">
        <v>721</v>
      </c>
      <c r="N818" s="1"/>
    </row>
    <row r="819" spans="1:14" x14ac:dyDescent="0.2">
      <c r="A819" s="1"/>
      <c r="B819" s="1" t="s">
        <v>2397</v>
      </c>
      <c r="C819" s="1"/>
      <c r="D819" s="1"/>
      <c r="E819" s="1"/>
      <c r="F819" s="1"/>
      <c r="G819" s="3" t="str">
        <f>IF(C823="x",M820,"")</f>
        <v/>
      </c>
      <c r="H819" s="1"/>
      <c r="I819" s="1"/>
      <c r="J819" s="5" t="e">
        <f>SEARCH("extrinsieke",G820)</f>
        <v>#VALUE!</v>
      </c>
      <c r="K819" s="1"/>
      <c r="L819" s="3"/>
      <c r="M819" s="1"/>
      <c r="N819" s="1"/>
    </row>
    <row r="820" spans="1:14" x14ac:dyDescent="0.2">
      <c r="A820" s="1"/>
      <c r="B820" s="1"/>
      <c r="C820" s="1"/>
      <c r="D820" s="352" t="s">
        <v>995</v>
      </c>
      <c r="E820" s="1" t="s">
        <v>1866</v>
      </c>
      <c r="F820" s="1"/>
      <c r="G820" s="352" t="s">
        <v>995</v>
      </c>
      <c r="H820" s="1" t="s">
        <v>1866</v>
      </c>
      <c r="I820" s="1"/>
      <c r="J820" s="5">
        <f>ABS(ISERR(J819))</f>
        <v>1</v>
      </c>
      <c r="K820" s="5">
        <f>ABS(IF(J820=0,"1","0"))</f>
        <v>0</v>
      </c>
      <c r="L820" s="3">
        <v>1</v>
      </c>
      <c r="M820" s="1" t="s">
        <v>722</v>
      </c>
      <c r="N820" s="1"/>
    </row>
    <row r="821" spans="1:14" x14ac:dyDescent="0.2">
      <c r="A821" s="1"/>
      <c r="B821" s="1"/>
      <c r="C821" s="1"/>
      <c r="D821" s="3" t="str">
        <f>IF(C823="x",M818,"")</f>
        <v/>
      </c>
      <c r="E821" s="1"/>
      <c r="F821" s="1"/>
      <c r="G821" s="1"/>
      <c r="H821" s="1"/>
      <c r="I821" s="1"/>
      <c r="J821" s="5" t="e">
        <f>SEARCH("extrinsieke",D820)</f>
        <v>#VALUE!</v>
      </c>
      <c r="K821" s="1"/>
      <c r="L821" s="3"/>
      <c r="M821" s="1"/>
      <c r="N821" s="1"/>
    </row>
    <row r="822" spans="1:14" x14ac:dyDescent="0.2">
      <c r="A822" s="1"/>
      <c r="B822" s="1"/>
      <c r="C822" s="1"/>
      <c r="D822" s="1"/>
      <c r="E822" s="1"/>
      <c r="F822" s="16" t="s">
        <v>718</v>
      </c>
      <c r="G822" s="1"/>
      <c r="H822" s="1" t="s">
        <v>719</v>
      </c>
      <c r="I822" s="1"/>
      <c r="J822" s="5">
        <f>ABS(ISERR(J821))</f>
        <v>1</v>
      </c>
      <c r="K822" s="5">
        <f>ABS(IF(J822=0,"1","0"))</f>
        <v>0</v>
      </c>
      <c r="L822" s="3"/>
      <c r="M822" s="1"/>
      <c r="N822" s="1"/>
    </row>
    <row r="823" spans="1:14" x14ac:dyDescent="0.2">
      <c r="A823" s="1"/>
      <c r="B823" s="82" t="s">
        <v>1033</v>
      </c>
      <c r="C823" s="318" t="s">
        <v>995</v>
      </c>
      <c r="D823" s="1"/>
      <c r="E823" s="1"/>
      <c r="F823" s="1"/>
      <c r="G823" s="1"/>
      <c r="H823" s="1"/>
      <c r="I823" s="1"/>
      <c r="J823" s="5" t="e">
        <f>SEARCH("intrinsieke",G820)</f>
        <v>#VALUE!</v>
      </c>
      <c r="K823" s="1"/>
      <c r="L823" s="3"/>
      <c r="M823" s="1"/>
      <c r="N823" s="1"/>
    </row>
    <row r="824" spans="1:14" x14ac:dyDescent="0.2">
      <c r="A824" s="1"/>
      <c r="B824" s="3" t="s">
        <v>995</v>
      </c>
      <c r="C824" s="1"/>
      <c r="D824" s="3"/>
      <c r="E824" s="3"/>
      <c r="F824" s="3"/>
      <c r="G824" s="1"/>
      <c r="H824" s="1"/>
      <c r="I824" s="1"/>
      <c r="J824" s="5">
        <f>ABS(ISERR(J823))</f>
        <v>1</v>
      </c>
      <c r="K824" s="5">
        <f>ABS(IF(J824=0,"1","0"))</f>
        <v>0</v>
      </c>
      <c r="L824" s="3"/>
      <c r="M824" s="1"/>
      <c r="N824" s="1"/>
    </row>
    <row r="825" spans="1:14" x14ac:dyDescent="0.2">
      <c r="A825" s="14"/>
      <c r="B825" s="14"/>
      <c r="C825" s="14"/>
      <c r="D825" s="180"/>
      <c r="E825" s="14"/>
      <c r="F825" s="14"/>
      <c r="G825" s="14"/>
      <c r="H825" s="14"/>
      <c r="I825" s="14"/>
      <c r="J825" s="1" t="s">
        <v>995</v>
      </c>
      <c r="K825" s="1"/>
      <c r="L825" s="3"/>
      <c r="M825" s="1"/>
      <c r="N825" s="1"/>
    </row>
    <row r="826" spans="1:14" x14ac:dyDescent="0.2">
      <c r="A826" s="1"/>
      <c r="B826" s="1"/>
      <c r="C826" s="1"/>
      <c r="D826" s="1"/>
      <c r="E826" s="1"/>
      <c r="F826" s="1"/>
      <c r="G826" s="1"/>
      <c r="H826" s="1"/>
      <c r="J826" s="1"/>
      <c r="K826" s="1"/>
      <c r="L826" s="3"/>
      <c r="M826" s="1"/>
      <c r="N826" s="1"/>
    </row>
    <row r="827" spans="1:14" ht="26.25" thickBot="1" x14ac:dyDescent="0.25">
      <c r="A827" s="67" t="s">
        <v>739</v>
      </c>
      <c r="B827" s="103" t="s">
        <v>2401</v>
      </c>
      <c r="C827" s="102" t="s">
        <v>446</v>
      </c>
      <c r="D827" s="102" t="s">
        <v>1623</v>
      </c>
      <c r="E827" s="526" t="s">
        <v>2119</v>
      </c>
      <c r="F827" s="527" t="s">
        <v>2120</v>
      </c>
      <c r="G827" s="1"/>
      <c r="H827" s="1"/>
      <c r="I827" s="1"/>
      <c r="J827" s="1"/>
      <c r="K827" s="1"/>
      <c r="L827" s="3"/>
      <c r="M827" s="1"/>
      <c r="N827" s="1"/>
    </row>
    <row r="828" spans="1:14" ht="13.5" thickTop="1" x14ac:dyDescent="0.2">
      <c r="A828" s="1"/>
      <c r="B828" s="200" t="s">
        <v>2398</v>
      </c>
      <c r="C828" s="425" t="s">
        <v>995</v>
      </c>
      <c r="D828" s="425" t="s">
        <v>995</v>
      </c>
      <c r="E828" s="425" t="s">
        <v>995</v>
      </c>
      <c r="F828" s="425" t="s">
        <v>995</v>
      </c>
      <c r="G828" s="1"/>
      <c r="H828" s="1"/>
      <c r="I828" s="1"/>
      <c r="J828" s="5" t="str">
        <f>IF(C828="x","FOUT","")</f>
        <v/>
      </c>
      <c r="K828" s="5">
        <f>ABS(IF(J828="JUIST","1","0"))</f>
        <v>0</v>
      </c>
      <c r="L828" s="3"/>
      <c r="M828" s="1"/>
      <c r="N828" s="1"/>
    </row>
    <row r="829" spans="1:14" x14ac:dyDescent="0.2">
      <c r="A829" s="1"/>
      <c r="B829" s="61" t="s">
        <v>2399</v>
      </c>
      <c r="C829" s="3" t="s">
        <v>475</v>
      </c>
      <c r="D829" s="3" t="s">
        <v>476</v>
      </c>
      <c r="E829" s="3" t="s">
        <v>477</v>
      </c>
      <c r="F829" s="3" t="s">
        <v>478</v>
      </c>
      <c r="G829" s="1"/>
      <c r="H829" s="1"/>
      <c r="I829" s="1"/>
      <c r="J829" s="5" t="str">
        <f>IF(D828="x","FOUT","")</f>
        <v/>
      </c>
      <c r="K829" s="5">
        <f>ABS(IF(J829="JUIST","1","0"))</f>
        <v>0</v>
      </c>
      <c r="L829" s="3"/>
      <c r="M829" s="1"/>
      <c r="N829" s="1"/>
    </row>
    <row r="830" spans="1:14" x14ac:dyDescent="0.2">
      <c r="A830" s="1"/>
      <c r="B830" s="428" t="s">
        <v>2400</v>
      </c>
      <c r="C830" s="1"/>
      <c r="D830" s="1"/>
      <c r="E830" s="1"/>
      <c r="F830" s="1"/>
      <c r="G830" s="1"/>
      <c r="H830" s="1"/>
      <c r="I830" s="1"/>
      <c r="J830" s="5" t="str">
        <f>IF(E828="x","FOUT","")</f>
        <v/>
      </c>
      <c r="K830" s="5">
        <f>ABS(IF(J830="JUIST","1","0"))</f>
        <v>0</v>
      </c>
      <c r="L830" s="3"/>
      <c r="M830" s="1"/>
      <c r="N830" s="1"/>
    </row>
    <row r="831" spans="1:14" x14ac:dyDescent="0.2">
      <c r="A831" s="1"/>
      <c r="B831" s="67"/>
      <c r="C831" s="3"/>
      <c r="D831" s="1"/>
      <c r="E831" s="1"/>
      <c r="F831" s="1"/>
      <c r="G831" s="1"/>
      <c r="H831" s="1"/>
      <c r="I831" s="1"/>
      <c r="J831" s="5" t="str">
        <f>IF(F828="x","JUIST","")</f>
        <v/>
      </c>
      <c r="K831" s="5">
        <f>ABS(IF(J831="JUIST","1","0"))</f>
        <v>0</v>
      </c>
      <c r="L831" s="3">
        <v>1</v>
      </c>
      <c r="M831" s="1"/>
      <c r="N831" s="1"/>
    </row>
    <row r="832" spans="1:14" x14ac:dyDescent="0.2">
      <c r="A832" s="1"/>
      <c r="B832" s="82" t="s">
        <v>1033</v>
      </c>
      <c r="C832" s="318" t="s">
        <v>995</v>
      </c>
      <c r="D832" s="3"/>
      <c r="E832" s="3"/>
      <c r="F832" s="3"/>
      <c r="G832" s="1"/>
      <c r="H832" s="1"/>
      <c r="I832" s="1"/>
      <c r="K832" s="1"/>
      <c r="L832" s="3"/>
      <c r="M832" s="1"/>
      <c r="N832" s="1"/>
    </row>
    <row r="833" spans="1:14" x14ac:dyDescent="0.2">
      <c r="A833" s="1"/>
      <c r="B833" s="3" t="str">
        <f>IF(C832="x",J833,"")</f>
        <v/>
      </c>
      <c r="C833" s="1"/>
      <c r="D833" s="1"/>
      <c r="E833" s="1"/>
      <c r="G833" s="1"/>
      <c r="H833" s="1"/>
      <c r="I833" s="1"/>
      <c r="J833" s="73" t="str">
        <f>IF(C832="x","Het juiste antwoord is:  D.","")</f>
        <v/>
      </c>
      <c r="K833" s="1"/>
      <c r="L833" s="3"/>
      <c r="M833" s="1"/>
      <c r="N833" s="1"/>
    </row>
    <row r="834" spans="1:14" x14ac:dyDescent="0.2">
      <c r="A834" s="14"/>
      <c r="B834" s="14"/>
      <c r="C834" s="14"/>
      <c r="D834" s="180"/>
      <c r="E834" s="14"/>
      <c r="F834" s="14"/>
      <c r="G834" s="14"/>
      <c r="H834" s="14"/>
      <c r="I834" s="14"/>
      <c r="J834" s="1"/>
      <c r="K834" s="1"/>
      <c r="L834" s="3"/>
      <c r="M834" s="1"/>
      <c r="N834" s="1"/>
    </row>
    <row r="835" spans="1:14" x14ac:dyDescent="0.2">
      <c r="A835" s="426"/>
      <c r="B835" s="426"/>
      <c r="C835" s="426"/>
      <c r="D835" s="469"/>
      <c r="E835" s="426"/>
      <c r="F835" s="426"/>
      <c r="G835" s="426"/>
      <c r="H835" s="426"/>
      <c r="I835" s="426"/>
      <c r="J835" s="1"/>
      <c r="K835" s="1"/>
      <c r="L835" s="3"/>
      <c r="M835" s="1"/>
      <c r="N835" s="1"/>
    </row>
    <row r="836" spans="1:14" ht="26.25" thickBot="1" x14ac:dyDescent="0.25">
      <c r="A836" s="438" t="s">
        <v>752</v>
      </c>
      <c r="B836" s="103" t="s">
        <v>2402</v>
      </c>
      <c r="C836" s="102" t="s">
        <v>446</v>
      </c>
      <c r="D836" s="102" t="s">
        <v>1623</v>
      </c>
      <c r="E836" s="526" t="s">
        <v>2119</v>
      </c>
      <c r="F836" s="527" t="s">
        <v>2120</v>
      </c>
      <c r="G836" s="1"/>
      <c r="H836" s="1"/>
      <c r="I836" s="1"/>
      <c r="J836" s="1"/>
      <c r="K836" s="1"/>
      <c r="L836" s="3"/>
      <c r="M836" s="1"/>
      <c r="N836" s="1"/>
    </row>
    <row r="837" spans="1:14" ht="13.5" thickTop="1" x14ac:dyDescent="0.2">
      <c r="A837" s="426"/>
      <c r="B837" s="61" t="s">
        <v>2403</v>
      </c>
      <c r="C837" s="425" t="s">
        <v>995</v>
      </c>
      <c r="D837" s="425" t="s">
        <v>995</v>
      </c>
      <c r="E837" s="425" t="s">
        <v>995</v>
      </c>
      <c r="F837" s="425" t="s">
        <v>995</v>
      </c>
      <c r="G837" s="1"/>
      <c r="H837" s="1"/>
      <c r="I837" s="1"/>
      <c r="J837" s="5" t="str">
        <f>IF(C837="x","FOUT","")</f>
        <v/>
      </c>
      <c r="K837" s="5">
        <f>ABS(IF(J837="JUIST","1","0"))</f>
        <v>0</v>
      </c>
      <c r="L837" s="3"/>
      <c r="M837" s="1"/>
      <c r="N837" s="1"/>
    </row>
    <row r="838" spans="1:14" x14ac:dyDescent="0.2">
      <c r="A838" s="438"/>
      <c r="B838" s="519" t="s">
        <v>2404</v>
      </c>
      <c r="C838" s="3" t="s">
        <v>475</v>
      </c>
      <c r="D838" s="3" t="s">
        <v>476</v>
      </c>
      <c r="E838" s="3" t="s">
        <v>477</v>
      </c>
      <c r="F838" s="3" t="s">
        <v>478</v>
      </c>
      <c r="G838" s="1"/>
      <c r="H838" s="1"/>
      <c r="I838" s="1"/>
      <c r="J838" s="5" t="str">
        <f>IF(D837="x","FOUT","")</f>
        <v/>
      </c>
      <c r="K838" s="5">
        <f>ABS(IF(J838="JUIST","1","0"))</f>
        <v>0</v>
      </c>
      <c r="L838" s="3"/>
      <c r="M838" s="1"/>
      <c r="N838" s="1"/>
    </row>
    <row r="839" spans="1:14" x14ac:dyDescent="0.2">
      <c r="A839" s="426"/>
      <c r="B839" s="428" t="s">
        <v>995</v>
      </c>
      <c r="C839" s="1"/>
      <c r="D839" s="1"/>
      <c r="E839" s="1"/>
      <c r="F839" s="1"/>
      <c r="G839" s="1"/>
      <c r="H839" s="1"/>
      <c r="I839" s="1"/>
      <c r="J839" s="5" t="str">
        <f>IF(E837="x","FOUT","")</f>
        <v/>
      </c>
      <c r="K839" s="5">
        <f>ABS(IF(J839="JUIST","1","0"))</f>
        <v>0</v>
      </c>
      <c r="L839" s="3"/>
      <c r="M839" s="1"/>
      <c r="N839" s="1"/>
    </row>
    <row r="840" spans="1:14" x14ac:dyDescent="0.2">
      <c r="A840" s="426"/>
      <c r="B840" s="82" t="s">
        <v>1951</v>
      </c>
      <c r="C840" s="3"/>
      <c r="D840" s="1"/>
      <c r="E840" s="1"/>
      <c r="F840" s="1"/>
      <c r="G840" s="1"/>
      <c r="H840" s="1"/>
      <c r="I840" s="1"/>
      <c r="J840" s="5" t="str">
        <f>IF(F837="x","JUIST","")</f>
        <v/>
      </c>
      <c r="K840" s="5">
        <f>ABS(IF(J840="JUIST","1","0"))</f>
        <v>0</v>
      </c>
      <c r="L840" s="3">
        <v>1</v>
      </c>
      <c r="M840" s="1"/>
      <c r="N840" s="1"/>
    </row>
    <row r="841" spans="1:14" x14ac:dyDescent="0.2">
      <c r="A841" s="426"/>
      <c r="B841" s="472" t="s">
        <v>1949</v>
      </c>
      <c r="C841" s="470" t="s">
        <v>995</v>
      </c>
      <c r="D841" s="3"/>
      <c r="E841" s="3"/>
      <c r="F841" s="3"/>
      <c r="G841" s="1"/>
      <c r="H841" s="1"/>
      <c r="I841" s="1"/>
      <c r="K841" s="1"/>
      <c r="L841" s="3"/>
      <c r="M841" s="1"/>
      <c r="N841" s="1"/>
    </row>
    <row r="842" spans="1:14" x14ac:dyDescent="0.2">
      <c r="A842" s="426"/>
      <c r="B842" s="471" t="s">
        <v>1950</v>
      </c>
      <c r="C842" s="1"/>
      <c r="D842" s="1"/>
      <c r="E842" s="1"/>
      <c r="G842" s="1"/>
      <c r="H842" s="1"/>
      <c r="I842" s="1"/>
      <c r="J842" s="73" t="str">
        <f>IF(C841="x","Het juiste antwoord is:  D.","")</f>
        <v/>
      </c>
      <c r="K842" s="1"/>
      <c r="L842" s="3"/>
      <c r="M842" s="1"/>
      <c r="N842" s="1"/>
    </row>
    <row r="843" spans="1:14" x14ac:dyDescent="0.2">
      <c r="A843" s="426"/>
      <c r="B843" s="426"/>
      <c r="C843" s="426"/>
      <c r="D843" s="469"/>
      <c r="E843" s="426"/>
      <c r="F843" s="426"/>
      <c r="G843" s="426"/>
      <c r="H843" s="426"/>
      <c r="I843" s="426"/>
      <c r="J843" s="1"/>
      <c r="K843" s="1"/>
      <c r="L843" s="3"/>
      <c r="M843" s="1"/>
      <c r="N843" s="1"/>
    </row>
    <row r="844" spans="1:14" x14ac:dyDescent="0.2">
      <c r="A844" s="14"/>
      <c r="B844" s="14"/>
      <c r="C844" s="14"/>
      <c r="D844" s="180"/>
      <c r="E844" s="14"/>
      <c r="F844" s="14"/>
      <c r="G844" s="14"/>
      <c r="H844" s="14"/>
      <c r="I844" s="14"/>
      <c r="J844" s="1"/>
      <c r="K844" s="1"/>
      <c r="L844" s="3"/>
      <c r="M844" s="1"/>
      <c r="N844" s="1"/>
    </row>
    <row r="845" spans="1:14" x14ac:dyDescent="0.2">
      <c r="A845" s="1"/>
      <c r="B845" s="1"/>
      <c r="C845" s="1"/>
      <c r="D845" s="1"/>
      <c r="E845" s="1"/>
      <c r="F845" s="1"/>
      <c r="G845" s="1"/>
      <c r="H845" s="1"/>
      <c r="I845" s="1"/>
      <c r="J845" s="1"/>
      <c r="K845" s="1"/>
      <c r="L845" s="3"/>
      <c r="M845" s="1"/>
      <c r="N845" s="1"/>
    </row>
    <row r="846" spans="1:14" ht="26.25" thickBot="1" x14ac:dyDescent="0.25">
      <c r="A846" s="67" t="s">
        <v>1799</v>
      </c>
      <c r="B846" s="103" t="s">
        <v>2782</v>
      </c>
      <c r="C846" s="102" t="s">
        <v>446</v>
      </c>
      <c r="D846" s="102" t="s">
        <v>1623</v>
      </c>
      <c r="E846" s="526" t="s">
        <v>2119</v>
      </c>
      <c r="F846" s="527" t="s">
        <v>2120</v>
      </c>
      <c r="G846" s="1"/>
      <c r="H846" s="1"/>
      <c r="I846" s="1"/>
      <c r="J846" s="1"/>
      <c r="K846" s="1"/>
      <c r="L846" s="3"/>
      <c r="M846" s="1"/>
      <c r="N846" s="1"/>
    </row>
    <row r="847" spans="1:14" ht="13.5" thickTop="1" x14ac:dyDescent="0.2">
      <c r="A847" s="1"/>
      <c r="B847" s="2" t="s">
        <v>2405</v>
      </c>
      <c r="C847" s="425" t="s">
        <v>995</v>
      </c>
      <c r="D847" s="425" t="s">
        <v>995</v>
      </c>
      <c r="E847" s="425" t="s">
        <v>995</v>
      </c>
      <c r="F847" s="425" t="s">
        <v>995</v>
      </c>
      <c r="G847" s="1"/>
      <c r="H847" s="1"/>
      <c r="I847" s="1"/>
      <c r="J847" s="5" t="str">
        <f>IF(C847="x","FOUT","")</f>
        <v/>
      </c>
      <c r="K847" s="5">
        <f>ABS(IF(J847="JUIST","1","0"))</f>
        <v>0</v>
      </c>
      <c r="L847" s="3"/>
      <c r="M847" s="1"/>
      <c r="N847" s="1"/>
    </row>
    <row r="848" spans="1:14" x14ac:dyDescent="0.2">
      <c r="A848" s="1"/>
      <c r="B848" s="61" t="s">
        <v>2406</v>
      </c>
      <c r="C848" s="3" t="s">
        <v>475</v>
      </c>
      <c r="D848" s="3" t="s">
        <v>476</v>
      </c>
      <c r="E848" s="3" t="s">
        <v>477</v>
      </c>
      <c r="F848" s="3" t="s">
        <v>478</v>
      </c>
      <c r="G848" s="1"/>
      <c r="H848" s="1"/>
      <c r="I848" s="1"/>
      <c r="J848" s="5" t="str">
        <f>IF(D847="x","FOUT","")</f>
        <v/>
      </c>
      <c r="K848" s="5">
        <f>ABS(IF(J848="JUIST","1","0"))</f>
        <v>0</v>
      </c>
      <c r="L848" s="3"/>
      <c r="M848" s="1"/>
      <c r="N848" s="1"/>
    </row>
    <row r="849" spans="1:14" x14ac:dyDescent="0.2">
      <c r="A849" s="1"/>
      <c r="B849" t="s">
        <v>725</v>
      </c>
      <c r="C849" s="1"/>
      <c r="D849" s="1"/>
      <c r="E849" s="1"/>
      <c r="F849" s="1"/>
      <c r="G849" s="1"/>
      <c r="H849" s="1"/>
      <c r="I849" s="1"/>
      <c r="J849" s="5" t="str">
        <f>IF(E847="x","JUIST","")</f>
        <v/>
      </c>
      <c r="K849" s="5">
        <f>ABS(IF(J849="JUIST","1","0"))</f>
        <v>0</v>
      </c>
      <c r="L849" s="3">
        <v>1</v>
      </c>
      <c r="M849" s="1"/>
      <c r="N849" s="1"/>
    </row>
    <row r="850" spans="1:14" x14ac:dyDescent="0.2">
      <c r="A850" s="1"/>
      <c r="B850" s="67" t="s">
        <v>2407</v>
      </c>
      <c r="C850" s="3"/>
      <c r="D850" s="1"/>
      <c r="E850" s="1"/>
      <c r="F850" s="1"/>
      <c r="G850" s="1"/>
      <c r="H850" s="1"/>
      <c r="I850" s="1"/>
      <c r="J850" s="5" t="str">
        <f>IF(F847="x","FOUT","")</f>
        <v/>
      </c>
      <c r="K850" s="5">
        <f>ABS(IF(J850="JUIST","1","0"))</f>
        <v>0</v>
      </c>
      <c r="L850" s="3" t="s">
        <v>995</v>
      </c>
      <c r="M850" s="1"/>
      <c r="N850" s="1"/>
    </row>
    <row r="851" spans="1:14" x14ac:dyDescent="0.2">
      <c r="A851" s="1"/>
      <c r="C851" s="1"/>
      <c r="D851" s="3"/>
      <c r="E851" s="3"/>
      <c r="F851" s="3"/>
      <c r="G851" s="1"/>
      <c r="H851" s="1"/>
      <c r="I851" s="1"/>
      <c r="K851" s="1"/>
      <c r="L851" s="3"/>
      <c r="M851" s="1"/>
      <c r="N851" s="1"/>
    </row>
    <row r="852" spans="1:14" x14ac:dyDescent="0.2">
      <c r="A852" s="1"/>
      <c r="B852" s="82" t="s">
        <v>1033</v>
      </c>
      <c r="C852" s="318" t="s">
        <v>995</v>
      </c>
      <c r="D852" s="1"/>
      <c r="E852" s="173" t="s">
        <v>726</v>
      </c>
      <c r="G852" s="1"/>
      <c r="H852" s="1"/>
      <c r="I852" s="1"/>
      <c r="J852" s="73" t="str">
        <f>IF(C852="x","Het juiste antwoord is:  C.","")</f>
        <v/>
      </c>
      <c r="K852" s="1"/>
      <c r="L852" s="3"/>
      <c r="M852" s="1"/>
      <c r="N852" s="1"/>
    </row>
    <row r="853" spans="1:14" x14ac:dyDescent="0.2">
      <c r="A853" s="1"/>
      <c r="B853" s="3" t="str">
        <f>IF(C852="x",J852,"")</f>
        <v/>
      </c>
      <c r="C853" s="1"/>
      <c r="D853" s="1"/>
      <c r="E853" s="1"/>
      <c r="F853" s="1"/>
      <c r="G853" s="1"/>
      <c r="H853" s="1"/>
      <c r="I853" s="1"/>
      <c r="J853" s="1"/>
      <c r="K853" s="1"/>
      <c r="L853" s="3"/>
      <c r="M853" s="1"/>
      <c r="N853" s="1"/>
    </row>
    <row r="854" spans="1:14" x14ac:dyDescent="0.2">
      <c r="A854" s="14"/>
      <c r="B854" s="14"/>
      <c r="C854" s="14"/>
      <c r="D854" s="180"/>
      <c r="E854" s="14"/>
      <c r="F854" s="14"/>
      <c r="G854" s="14"/>
      <c r="H854" s="14"/>
      <c r="I854" s="14"/>
      <c r="J854" s="1"/>
      <c r="K854" s="1"/>
      <c r="L854" s="3"/>
      <c r="M854" s="1"/>
      <c r="N854" s="1"/>
    </row>
    <row r="855" spans="1:14" x14ac:dyDescent="0.2">
      <c r="A855" s="1"/>
      <c r="B855" s="1"/>
      <c r="C855" s="1"/>
      <c r="D855" s="1"/>
      <c r="E855" s="1"/>
      <c r="F855" s="1"/>
      <c r="G855" s="1"/>
      <c r="H855" s="1"/>
      <c r="I855" s="1"/>
      <c r="J855" s="1"/>
      <c r="K855" s="1"/>
      <c r="L855" s="3"/>
      <c r="M855" s="1"/>
      <c r="N855" s="1"/>
    </row>
    <row r="856" spans="1:14" ht="26.25" thickBot="1" x14ac:dyDescent="0.25">
      <c r="A856" s="67" t="s">
        <v>1805</v>
      </c>
      <c r="B856" s="103" t="s">
        <v>2408</v>
      </c>
      <c r="C856" s="102" t="s">
        <v>446</v>
      </c>
      <c r="D856" s="102" t="s">
        <v>1623</v>
      </c>
      <c r="E856" s="526" t="s">
        <v>2119</v>
      </c>
      <c r="F856" s="527" t="s">
        <v>2120</v>
      </c>
      <c r="G856" s="1"/>
      <c r="H856" s="1"/>
      <c r="I856" s="1"/>
      <c r="J856" s="1"/>
      <c r="K856" s="1"/>
      <c r="L856" s="3"/>
      <c r="M856" s="1"/>
      <c r="N856" s="1"/>
    </row>
    <row r="857" spans="1:14" ht="14.25" customHeight="1" thickTop="1" x14ac:dyDescent="0.2">
      <c r="A857" s="1"/>
      <c r="B857" s="200" t="s">
        <v>2409</v>
      </c>
      <c r="C857" s="425" t="s">
        <v>995</v>
      </c>
      <c r="D857" s="425" t="s">
        <v>995</v>
      </c>
      <c r="E857" s="425" t="s">
        <v>995</v>
      </c>
      <c r="F857" s="425" t="s">
        <v>995</v>
      </c>
      <c r="G857" s="1"/>
      <c r="H857" s="1"/>
      <c r="I857" s="1"/>
      <c r="J857" s="5" t="str">
        <f>IF(C857="x","FOUT","")</f>
        <v/>
      </c>
      <c r="K857" s="5">
        <f>ABS(IF(J857="JUIST","1","0"))</f>
        <v>0</v>
      </c>
      <c r="L857" s="3"/>
      <c r="M857" s="1"/>
      <c r="N857" s="1"/>
    </row>
    <row r="858" spans="1:14" x14ac:dyDescent="0.2">
      <c r="A858" s="1"/>
      <c r="B858" s="61" t="s">
        <v>2410</v>
      </c>
      <c r="C858" s="3" t="s">
        <v>475</v>
      </c>
      <c r="D858" s="3" t="s">
        <v>476</v>
      </c>
      <c r="E858" s="3" t="s">
        <v>477</v>
      </c>
      <c r="F858" s="3" t="s">
        <v>478</v>
      </c>
      <c r="G858" s="1"/>
      <c r="H858" s="1"/>
      <c r="I858" s="1"/>
      <c r="J858" s="5" t="str">
        <f>IF(D857="x","JUIST","")</f>
        <v/>
      </c>
      <c r="K858" s="5">
        <f>ABS(IF(J858="JUIST","1","0"))</f>
        <v>0</v>
      </c>
      <c r="L858" s="3">
        <v>1</v>
      </c>
      <c r="M858" s="1"/>
      <c r="N858" s="1"/>
    </row>
    <row r="859" spans="1:14" x14ac:dyDescent="0.2">
      <c r="A859" s="1"/>
      <c r="B859" s="428" t="s">
        <v>728</v>
      </c>
      <c r="C859" s="1"/>
      <c r="D859" s="1"/>
      <c r="E859" s="1"/>
      <c r="F859" s="1"/>
      <c r="G859" s="1"/>
      <c r="H859" s="1"/>
      <c r="I859" s="1"/>
      <c r="J859" s="5" t="str">
        <f>IF(E857="x","FOUT","")</f>
        <v/>
      </c>
      <c r="K859" s="5">
        <f>ABS(IF(J859="JUIST","1","0"))</f>
        <v>0</v>
      </c>
      <c r="L859" s="3" t="s">
        <v>995</v>
      </c>
      <c r="M859" s="1"/>
      <c r="N859" s="1"/>
    </row>
    <row r="860" spans="1:14" x14ac:dyDescent="0.2">
      <c r="A860" s="1"/>
      <c r="B860" s="67" t="s">
        <v>2753</v>
      </c>
      <c r="C860" s="3"/>
      <c r="D860" s="1"/>
      <c r="E860" s="1"/>
      <c r="F860" s="1"/>
      <c r="G860" s="1"/>
      <c r="H860" s="1"/>
      <c r="I860" s="1"/>
      <c r="J860" s="5" t="str">
        <f>IF(F857="x","FOUT","")</f>
        <v/>
      </c>
      <c r="K860" s="5">
        <f>ABS(IF(J860="JUIST","1","0"))</f>
        <v>0</v>
      </c>
      <c r="L860" s="3" t="s">
        <v>995</v>
      </c>
      <c r="M860" s="1"/>
      <c r="N860" s="1"/>
    </row>
    <row r="861" spans="1:14" x14ac:dyDescent="0.2">
      <c r="A861" s="1"/>
      <c r="C861" s="1"/>
      <c r="D861" s="3"/>
      <c r="E861" s="3"/>
      <c r="F861" s="3"/>
      <c r="G861" s="1"/>
      <c r="H861" s="1"/>
      <c r="I861" s="1"/>
      <c r="K861" s="1"/>
      <c r="L861" s="3"/>
      <c r="M861" s="1"/>
      <c r="N861" s="1"/>
    </row>
    <row r="862" spans="1:14" x14ac:dyDescent="0.2">
      <c r="A862" s="1"/>
      <c r="B862" s="82" t="s">
        <v>1033</v>
      </c>
      <c r="C862" s="318" t="s">
        <v>995</v>
      </c>
      <c r="D862" s="1"/>
      <c r="E862" s="1" t="s">
        <v>995</v>
      </c>
      <c r="G862" s="1"/>
      <c r="H862" s="1"/>
      <c r="I862" s="1"/>
      <c r="J862" s="73" t="str">
        <f>IF(C862="x","Het juiste antwoord is:  B. (Ad stelling 1: is 6 tot 8%!)","")</f>
        <v/>
      </c>
      <c r="K862" s="1"/>
      <c r="L862" s="3"/>
      <c r="M862" s="1"/>
      <c r="N862" s="1"/>
    </row>
    <row r="863" spans="1:14" x14ac:dyDescent="0.2">
      <c r="A863" s="1"/>
      <c r="B863" s="3" t="str">
        <f>IF(C862="x",J862,"")</f>
        <v/>
      </c>
      <c r="C863" s="1"/>
      <c r="D863" s="1"/>
      <c r="E863" s="1"/>
      <c r="F863" s="1"/>
      <c r="G863" s="1"/>
      <c r="H863" s="1"/>
      <c r="I863" s="1"/>
      <c r="J863" s="1"/>
      <c r="K863" s="1"/>
      <c r="L863" s="3"/>
      <c r="M863" s="1"/>
      <c r="N863" s="1"/>
    </row>
    <row r="864" spans="1:14" x14ac:dyDescent="0.2">
      <c r="A864" s="14"/>
      <c r="B864" s="14"/>
      <c r="C864" s="14"/>
      <c r="D864" s="180"/>
      <c r="E864" s="14"/>
      <c r="F864" s="14"/>
      <c r="G864" s="14"/>
      <c r="H864" s="14"/>
      <c r="I864" s="14"/>
      <c r="J864" s="1"/>
      <c r="K864" s="1"/>
      <c r="L864" s="3"/>
      <c r="M864" s="1"/>
      <c r="N864" s="1"/>
    </row>
    <row r="865" spans="1:14" x14ac:dyDescent="0.2">
      <c r="A865" s="1"/>
      <c r="B865" s="1"/>
      <c r="C865" s="1"/>
      <c r="D865" s="1"/>
      <c r="E865" s="1"/>
      <c r="F865" s="1"/>
      <c r="G865" s="1"/>
      <c r="H865" s="1"/>
      <c r="I865" s="1"/>
      <c r="J865" s="1"/>
      <c r="K865" s="1"/>
      <c r="L865" s="3"/>
      <c r="M865" s="1"/>
      <c r="N865" s="1"/>
    </row>
    <row r="866" spans="1:14" x14ac:dyDescent="0.2">
      <c r="A866" s="67" t="s">
        <v>1819</v>
      </c>
      <c r="B866" s="1" t="s">
        <v>730</v>
      </c>
      <c r="C866" s="1"/>
      <c r="D866" s="1"/>
      <c r="E866" s="1"/>
      <c r="F866" s="1"/>
      <c r="G866" s="1"/>
      <c r="H866" s="1"/>
      <c r="I866" s="1"/>
      <c r="J866" s="5" t="str">
        <f>IF(E871="x","JUIST","")</f>
        <v/>
      </c>
      <c r="K866" s="5">
        <f>ABS(IF(J866="JUIST","1","0"))</f>
        <v>0</v>
      </c>
      <c r="L866" s="3">
        <v>1</v>
      </c>
      <c r="M866" s="1"/>
      <c r="N866" s="1"/>
    </row>
    <row r="867" spans="1:14" x14ac:dyDescent="0.2">
      <c r="A867" s="1"/>
      <c r="B867" s="1" t="s">
        <v>731</v>
      </c>
      <c r="C867" s="1"/>
      <c r="D867" s="1"/>
      <c r="E867" s="1"/>
      <c r="F867" s="1"/>
      <c r="G867" s="1"/>
      <c r="H867" s="1"/>
      <c r="I867" s="1"/>
      <c r="J867" s="5" t="str">
        <f>IF(C873="x","JUIST","")</f>
        <v/>
      </c>
      <c r="K867" s="5">
        <f>ABS(IF(J867="JUIST","1","0"))</f>
        <v>0</v>
      </c>
      <c r="L867" s="3">
        <v>1</v>
      </c>
      <c r="M867" s="1"/>
      <c r="N867" s="1"/>
    </row>
    <row r="868" spans="1:14" x14ac:dyDescent="0.2">
      <c r="A868" s="1"/>
      <c r="B868" s="1" t="s">
        <v>732</v>
      </c>
      <c r="C868" s="1"/>
      <c r="D868" s="1"/>
      <c r="E868" s="1"/>
      <c r="F868" s="1"/>
      <c r="G868" s="1"/>
      <c r="H868" s="1"/>
      <c r="I868" s="1"/>
      <c r="J868" s="5" t="str">
        <f>IF(D875="x","JUIST","")</f>
        <v/>
      </c>
      <c r="K868" s="5">
        <f>ABS(IF(J868="JUIST","1","0"))</f>
        <v>0</v>
      </c>
      <c r="L868" s="3">
        <v>1</v>
      </c>
      <c r="M868" s="1"/>
      <c r="N868" s="1"/>
    </row>
    <row r="869" spans="1:14" ht="13.5" thickBot="1" x14ac:dyDescent="0.25">
      <c r="A869" s="1"/>
      <c r="B869" s="1" t="s">
        <v>995</v>
      </c>
      <c r="C869" s="92" t="s">
        <v>733</v>
      </c>
      <c r="D869" s="92" t="s">
        <v>734</v>
      </c>
      <c r="E869" s="92" t="s">
        <v>735</v>
      </c>
      <c r="F869" s="1"/>
      <c r="G869" s="1"/>
      <c r="H869" s="1"/>
      <c r="I869" s="1"/>
      <c r="J869" s="1"/>
      <c r="K869" s="1"/>
      <c r="L869" s="3"/>
      <c r="M869" s="1"/>
      <c r="N869" s="1"/>
    </row>
    <row r="870" spans="1:14" ht="13.5" thickTop="1" x14ac:dyDescent="0.2">
      <c r="A870" s="54" t="s">
        <v>999</v>
      </c>
      <c r="B870" s="590" t="s">
        <v>736</v>
      </c>
      <c r="C870" s="407"/>
      <c r="D870" s="407"/>
      <c r="E870" s="407"/>
      <c r="F870" s="1"/>
      <c r="G870" s="1"/>
      <c r="H870" s="1"/>
      <c r="I870" s="1"/>
      <c r="J870" s="1"/>
      <c r="K870" s="1"/>
      <c r="L870" s="3"/>
      <c r="M870" s="1"/>
      <c r="N870" s="1"/>
    </row>
    <row r="871" spans="1:14" x14ac:dyDescent="0.2">
      <c r="A871" s="28"/>
      <c r="B871" s="591" t="s">
        <v>737</v>
      </c>
      <c r="C871" s="213" t="s">
        <v>995</v>
      </c>
      <c r="D871" s="10" t="s">
        <v>995</v>
      </c>
      <c r="E871" s="350" t="s">
        <v>995</v>
      </c>
      <c r="F871" s="1"/>
      <c r="G871" s="1"/>
      <c r="H871" s="1"/>
      <c r="I871" s="1"/>
      <c r="J871" s="1"/>
      <c r="K871" s="1"/>
      <c r="L871" s="3"/>
      <c r="M871" s="1"/>
      <c r="N871" s="1"/>
    </row>
    <row r="872" spans="1:14" x14ac:dyDescent="0.2">
      <c r="A872" s="54" t="s">
        <v>1000</v>
      </c>
      <c r="B872" s="326" t="s">
        <v>738</v>
      </c>
      <c r="C872" s="407"/>
      <c r="D872" s="407"/>
      <c r="E872" s="407"/>
      <c r="F872" s="1"/>
      <c r="G872" s="1"/>
      <c r="H872" s="1"/>
      <c r="I872" s="1"/>
      <c r="J872" s="1"/>
      <c r="K872" s="1"/>
      <c r="L872" s="3"/>
      <c r="M872" s="1"/>
      <c r="N872" s="1"/>
    </row>
    <row r="873" spans="1:14" x14ac:dyDescent="0.2">
      <c r="A873" s="28"/>
      <c r="B873" s="327" t="s">
        <v>2411</v>
      </c>
      <c r="C873" s="349" t="s">
        <v>995</v>
      </c>
      <c r="D873" s="10" t="s">
        <v>995</v>
      </c>
      <c r="E873" s="10" t="s">
        <v>995</v>
      </c>
      <c r="F873" s="1"/>
      <c r="G873" s="1"/>
      <c r="H873" s="1"/>
      <c r="I873" s="1"/>
      <c r="J873" s="1"/>
      <c r="K873" s="1"/>
      <c r="L873" s="3"/>
      <c r="M873" s="1"/>
      <c r="N873" s="1"/>
    </row>
    <row r="874" spans="1:14" x14ac:dyDescent="0.2">
      <c r="A874" s="54" t="s">
        <v>1001</v>
      </c>
      <c r="B874" s="590" t="s">
        <v>2412</v>
      </c>
      <c r="C874" s="407"/>
      <c r="D874" s="407"/>
      <c r="E874" s="407"/>
      <c r="F874" s="1"/>
      <c r="G874" s="1"/>
      <c r="H874" s="1"/>
      <c r="I874" s="1"/>
      <c r="J874" s="1"/>
      <c r="K874" s="1"/>
      <c r="L874" s="3"/>
      <c r="M874" s="1"/>
      <c r="N874" s="1"/>
    </row>
    <row r="875" spans="1:14" x14ac:dyDescent="0.2">
      <c r="A875" s="28"/>
      <c r="B875" s="591" t="s">
        <v>2413</v>
      </c>
      <c r="C875" s="29" t="s">
        <v>995</v>
      </c>
      <c r="D875" s="350" t="s">
        <v>995</v>
      </c>
      <c r="E875" s="10" t="s">
        <v>995</v>
      </c>
      <c r="F875" s="1"/>
      <c r="G875" s="1"/>
      <c r="H875" s="1"/>
      <c r="I875" s="1"/>
      <c r="J875" s="1"/>
      <c r="K875" s="1"/>
      <c r="L875" s="3"/>
      <c r="M875" s="1"/>
      <c r="N875" s="1"/>
    </row>
    <row r="876" spans="1:14" x14ac:dyDescent="0.2">
      <c r="A876" s="1"/>
      <c r="B876" s="1"/>
      <c r="C876" s="1"/>
      <c r="D876" s="1"/>
      <c r="E876" s="1"/>
      <c r="F876" s="1"/>
      <c r="G876" s="1"/>
      <c r="H876" s="1"/>
      <c r="I876" s="1"/>
      <c r="J876" s="1"/>
      <c r="K876" s="1"/>
      <c r="L876" s="3"/>
      <c r="M876" s="1"/>
      <c r="N876" s="1"/>
    </row>
    <row r="877" spans="1:14" x14ac:dyDescent="0.2">
      <c r="A877" s="1"/>
      <c r="B877" s="82" t="s">
        <v>1033</v>
      </c>
      <c r="C877" s="318" t="s">
        <v>995</v>
      </c>
      <c r="D877" s="1"/>
      <c r="E877" s="1"/>
      <c r="F877" s="1"/>
      <c r="G877" s="1"/>
      <c r="H877" s="1"/>
      <c r="I877" s="1"/>
      <c r="J877" s="1"/>
      <c r="K877" s="1"/>
      <c r="L877" s="3"/>
      <c r="M877" s="1"/>
      <c r="N877" s="1"/>
    </row>
    <row r="878" spans="1:14" x14ac:dyDescent="0.2">
      <c r="A878" s="1"/>
      <c r="B878" s="1"/>
      <c r="C878" s="1"/>
      <c r="D878" s="1"/>
      <c r="E878" s="1"/>
      <c r="F878" s="1"/>
      <c r="G878" s="1"/>
      <c r="H878" s="1"/>
      <c r="I878" s="1"/>
      <c r="J878" s="1"/>
      <c r="K878" s="1"/>
      <c r="L878" s="3"/>
      <c r="M878" s="1"/>
      <c r="N878" s="1"/>
    </row>
    <row r="879" spans="1:14" x14ac:dyDescent="0.2">
      <c r="A879" s="14"/>
      <c r="B879" s="14"/>
      <c r="C879" s="14"/>
      <c r="D879" s="180"/>
      <c r="E879" s="14"/>
      <c r="F879" s="14"/>
      <c r="G879" s="14"/>
      <c r="H879" s="14"/>
      <c r="I879" s="14"/>
      <c r="J879" s="1"/>
      <c r="K879" s="1"/>
      <c r="L879" s="3"/>
      <c r="M879" s="1"/>
      <c r="N879" s="1"/>
    </row>
    <row r="880" spans="1:14" x14ac:dyDescent="0.2">
      <c r="A880" s="1"/>
      <c r="B880" s="1"/>
      <c r="C880" s="1"/>
      <c r="D880" s="1"/>
      <c r="E880" s="1"/>
      <c r="F880" s="1"/>
      <c r="G880" s="1"/>
      <c r="H880" s="1"/>
      <c r="I880" s="1"/>
      <c r="J880" s="5" t="e">
        <f>SEARCH("degradatie",C884)</f>
        <v>#VALUE!</v>
      </c>
      <c r="K880" s="1"/>
      <c r="L880" s="3"/>
      <c r="M880" s="1"/>
      <c r="N880" s="1"/>
    </row>
    <row r="881" spans="1:14" x14ac:dyDescent="0.2">
      <c r="A881" s="67" t="s">
        <v>68</v>
      </c>
      <c r="B881" s="67" t="s">
        <v>2718</v>
      </c>
      <c r="C881" s="1"/>
      <c r="D881" s="1"/>
      <c r="E881" s="1"/>
      <c r="F881" s="1"/>
      <c r="G881" s="1"/>
      <c r="H881" s="1"/>
      <c r="I881" s="1"/>
      <c r="J881" s="5">
        <f>ABS(ISERR(J880))</f>
        <v>1</v>
      </c>
      <c r="K881" s="5">
        <f>ABS(IF(J881=0,"1","0"))</f>
        <v>0</v>
      </c>
      <c r="L881" s="3">
        <v>1</v>
      </c>
      <c r="M881" s="1" t="s">
        <v>741</v>
      </c>
      <c r="N881" s="1"/>
    </row>
    <row r="882" spans="1:14" x14ac:dyDescent="0.2">
      <c r="A882" s="1"/>
      <c r="B882" s="67" t="s">
        <v>2719</v>
      </c>
      <c r="C882" s="1"/>
      <c r="D882" s="1"/>
      <c r="E882" s="1"/>
      <c r="F882" s="1"/>
      <c r="G882" s="1"/>
      <c r="H882" s="1"/>
      <c r="I882" s="1"/>
      <c r="J882" s="5" t="e">
        <f>SEARCH("ontslag",C885)</f>
        <v>#VALUE!</v>
      </c>
      <c r="K882" s="1"/>
      <c r="L882" s="3"/>
      <c r="M882" s="1"/>
      <c r="N882" s="1"/>
    </row>
    <row r="883" spans="1:14" x14ac:dyDescent="0.2">
      <c r="A883" s="1"/>
      <c r="B883" s="1"/>
      <c r="C883" s="1"/>
      <c r="D883" s="1"/>
      <c r="E883" s="1"/>
      <c r="F883" s="1"/>
      <c r="G883" s="1"/>
      <c r="H883" s="1"/>
      <c r="I883" s="1"/>
      <c r="J883" s="5">
        <f>ABS(ISERR(J882))</f>
        <v>1</v>
      </c>
      <c r="K883" s="5">
        <f>ABS(IF(J883=0,"1","0"))</f>
        <v>0</v>
      </c>
      <c r="L883" s="3">
        <v>1</v>
      </c>
      <c r="M883" s="1" t="s">
        <v>744</v>
      </c>
      <c r="N883" s="1"/>
    </row>
    <row r="884" spans="1:14" x14ac:dyDescent="0.2">
      <c r="A884" s="6" t="s">
        <v>999</v>
      </c>
      <c r="B884" s="485" t="s">
        <v>740</v>
      </c>
      <c r="C884" s="10" t="s">
        <v>995</v>
      </c>
      <c r="D884" s="16" t="str">
        <f>IF(C891="x",M881,"")</f>
        <v/>
      </c>
      <c r="E884" s="1"/>
      <c r="F884" s="1"/>
      <c r="G884" s="1"/>
      <c r="H884" s="1"/>
      <c r="I884" s="1"/>
      <c r="J884" s="5" t="e">
        <f>SEARCH("coach",C886)</f>
        <v>#VALUE!</v>
      </c>
      <c r="K884" s="1"/>
      <c r="L884" s="3"/>
      <c r="M884" s="1"/>
      <c r="N884" s="1"/>
    </row>
    <row r="885" spans="1:14" x14ac:dyDescent="0.2">
      <c r="A885" s="6" t="s">
        <v>1000</v>
      </c>
      <c r="B885" s="6" t="s">
        <v>743</v>
      </c>
      <c r="C885" s="10" t="s">
        <v>995</v>
      </c>
      <c r="D885" s="16" t="str">
        <f>IF(C891="x",M883,"")</f>
        <v/>
      </c>
      <c r="E885" s="1"/>
      <c r="F885" s="1"/>
      <c r="G885" s="1"/>
      <c r="H885" s="1"/>
      <c r="I885" s="1"/>
      <c r="J885" s="5">
        <f>ABS(ISERR(J884))</f>
        <v>1</v>
      </c>
      <c r="K885" s="5">
        <f>ABS(IF(J885=0,"1","0"))</f>
        <v>0</v>
      </c>
      <c r="L885" s="3">
        <v>1</v>
      </c>
      <c r="M885" s="1" t="s">
        <v>746</v>
      </c>
      <c r="N885" s="1"/>
    </row>
    <row r="886" spans="1:14" x14ac:dyDescent="0.2">
      <c r="A886" s="6" t="s">
        <v>1001</v>
      </c>
      <c r="B886" s="6" t="s">
        <v>745</v>
      </c>
      <c r="C886" s="10" t="s">
        <v>995</v>
      </c>
      <c r="D886" s="16" t="str">
        <f>IF(C891="x",M885,"")</f>
        <v/>
      </c>
      <c r="E886" s="1"/>
      <c r="F886" s="1"/>
      <c r="G886" s="1"/>
      <c r="H886" s="1"/>
      <c r="I886" s="1"/>
      <c r="J886" s="5" t="e">
        <f>SEARCH("mobbing",C887)</f>
        <v>#VALUE!</v>
      </c>
      <c r="K886" s="1"/>
      <c r="L886" s="3"/>
      <c r="M886" s="1"/>
      <c r="N886" s="1"/>
    </row>
    <row r="887" spans="1:14" x14ac:dyDescent="0.2">
      <c r="A887" s="6" t="s">
        <v>1002</v>
      </c>
      <c r="B887" s="485" t="s">
        <v>747</v>
      </c>
      <c r="C887" s="10" t="s">
        <v>995</v>
      </c>
      <c r="D887" s="16" t="str">
        <f>IF(C891="x",M887,"")</f>
        <v/>
      </c>
      <c r="E887" s="1"/>
      <c r="F887" t="s">
        <v>995</v>
      </c>
      <c r="G887" s="1"/>
      <c r="H887" s="1"/>
      <c r="I887" s="1"/>
      <c r="J887" s="5">
        <f>ABS(ISERR(J886))</f>
        <v>1</v>
      </c>
      <c r="K887" s="5">
        <f>ABS(IF(J887=0,"1","0"))</f>
        <v>0</v>
      </c>
      <c r="L887" s="3">
        <v>1</v>
      </c>
      <c r="M887" s="1" t="s">
        <v>742</v>
      </c>
      <c r="N887" s="1"/>
    </row>
    <row r="888" spans="1:14" x14ac:dyDescent="0.2">
      <c r="A888" s="6" t="s">
        <v>863</v>
      </c>
      <c r="B888" s="6" t="s">
        <v>748</v>
      </c>
      <c r="C888" s="10" t="s">
        <v>995</v>
      </c>
      <c r="D888" s="16" t="str">
        <f>IF(C891="x",M889,"")</f>
        <v/>
      </c>
      <c r="E888" s="1"/>
      <c r="F888" s="1"/>
      <c r="G888" s="1"/>
      <c r="H888" s="1"/>
      <c r="I888" s="1"/>
      <c r="J888" s="5" t="e">
        <f>SEARCH("beoordel",C888)</f>
        <v>#VALUE!</v>
      </c>
      <c r="K888" s="1"/>
      <c r="L888" s="3"/>
      <c r="M888" s="1"/>
      <c r="N888" s="1"/>
    </row>
    <row r="889" spans="1:14" x14ac:dyDescent="0.2">
      <c r="A889" s="6" t="s">
        <v>1080</v>
      </c>
      <c r="B889" s="485" t="s">
        <v>750</v>
      </c>
      <c r="C889" s="10" t="s">
        <v>995</v>
      </c>
      <c r="D889" s="16" t="str">
        <f>IF(C891="x",M891,"")</f>
        <v/>
      </c>
      <c r="E889" s="1"/>
      <c r="F889" s="1"/>
      <c r="G889" s="1"/>
      <c r="H889" s="1"/>
      <c r="I889" s="1"/>
      <c r="J889" s="5">
        <f>ABS(ISERR(J888))</f>
        <v>1</v>
      </c>
      <c r="K889" s="5">
        <f>ABS(IF(J889=0,"1","0"))</f>
        <v>0</v>
      </c>
      <c r="L889" s="3">
        <v>1</v>
      </c>
      <c r="M889" s="1" t="s">
        <v>749</v>
      </c>
      <c r="N889" s="1"/>
    </row>
    <row r="890" spans="1:14" x14ac:dyDescent="0.2">
      <c r="A890" s="1"/>
      <c r="B890" s="1"/>
      <c r="C890" s="1"/>
      <c r="D890" s="1"/>
      <c r="E890" s="1"/>
      <c r="F890" s="1"/>
      <c r="G890" s="1"/>
      <c r="H890" s="1"/>
      <c r="I890" s="1"/>
      <c r="J890" s="5" t="e">
        <f>SEARCH("afwij",C889)</f>
        <v>#VALUE!</v>
      </c>
      <c r="K890" s="1"/>
      <c r="L890" s="3"/>
      <c r="M890" s="1"/>
      <c r="N890" s="1"/>
    </row>
    <row r="891" spans="1:14" x14ac:dyDescent="0.2">
      <c r="A891" s="1"/>
      <c r="B891" s="82" t="s">
        <v>1033</v>
      </c>
      <c r="C891" s="318" t="s">
        <v>995</v>
      </c>
      <c r="D891" s="1"/>
      <c r="E891" s="1"/>
      <c r="F891" s="1"/>
      <c r="G891" s="1"/>
      <c r="H891" s="1"/>
      <c r="I891" s="1"/>
      <c r="J891" s="5">
        <f>ABS(ISERR(J890))</f>
        <v>1</v>
      </c>
      <c r="K891" s="5">
        <f>ABS(IF(J891=0,"1","0"))</f>
        <v>0</v>
      </c>
      <c r="L891" s="3">
        <v>1</v>
      </c>
      <c r="M891" s="1" t="s">
        <v>751</v>
      </c>
      <c r="N891" s="1"/>
    </row>
    <row r="892" spans="1:14" x14ac:dyDescent="0.2">
      <c r="A892" s="1"/>
      <c r="B892" s="3" t="str">
        <f>IF(C891="x",J892,"")</f>
        <v/>
      </c>
      <c r="C892" s="1"/>
      <c r="D892" s="1"/>
      <c r="E892" s="1"/>
      <c r="F892" s="1"/>
      <c r="G892" s="1"/>
      <c r="H892" s="1"/>
      <c r="I892" s="1"/>
      <c r="J892" s="1"/>
      <c r="K892" s="1"/>
      <c r="L892" s="3"/>
      <c r="M892" s="1"/>
      <c r="N892" s="1"/>
    </row>
    <row r="893" spans="1:14" x14ac:dyDescent="0.2">
      <c r="A893" s="14"/>
      <c r="B893" s="14"/>
      <c r="C893" s="14"/>
      <c r="D893" s="180"/>
      <c r="E893" s="14"/>
      <c r="F893" s="14"/>
      <c r="G893" s="14"/>
      <c r="H893" s="14"/>
      <c r="I893" s="14"/>
      <c r="J893" s="1"/>
      <c r="K893" s="1"/>
      <c r="L893" s="3"/>
      <c r="M893" s="1"/>
      <c r="N893" s="1"/>
    </row>
    <row r="894" spans="1:14" x14ac:dyDescent="0.2">
      <c r="A894" s="1"/>
      <c r="B894" s="1"/>
      <c r="C894" s="1"/>
      <c r="D894" s="1"/>
      <c r="E894" s="1"/>
      <c r="F894" s="1"/>
      <c r="G894" s="1"/>
      <c r="H894" s="1"/>
      <c r="I894" s="1"/>
      <c r="J894" s="1"/>
      <c r="K894" s="1"/>
      <c r="L894" s="3"/>
      <c r="M894" s="1"/>
      <c r="N894" s="1"/>
    </row>
    <row r="895" spans="1:14" ht="26.25" thickBot="1" x14ac:dyDescent="0.25">
      <c r="A895" s="67" t="s">
        <v>80</v>
      </c>
      <c r="B895" s="103" t="s">
        <v>2414</v>
      </c>
      <c r="C895" s="102" t="s">
        <v>446</v>
      </c>
      <c r="D895" s="102" t="s">
        <v>1623</v>
      </c>
      <c r="E895" s="526" t="s">
        <v>2119</v>
      </c>
      <c r="F895" s="527" t="s">
        <v>2120</v>
      </c>
      <c r="G895" s="1"/>
      <c r="H895" s="1"/>
      <c r="I895" s="1"/>
      <c r="J895" s="1"/>
      <c r="K895" s="1"/>
      <c r="L895" s="3"/>
      <c r="M895" s="1"/>
      <c r="N895" s="1"/>
    </row>
    <row r="896" spans="1:14" ht="13.5" thickTop="1" x14ac:dyDescent="0.2">
      <c r="A896" s="1"/>
      <c r="B896" s="200" t="s">
        <v>2415</v>
      </c>
      <c r="C896" s="425" t="s">
        <v>995</v>
      </c>
      <c r="D896" s="425" t="s">
        <v>995</v>
      </c>
      <c r="E896" s="425" t="s">
        <v>995</v>
      </c>
      <c r="F896" s="425" t="s">
        <v>995</v>
      </c>
      <c r="G896" s="1"/>
      <c r="H896" s="1"/>
      <c r="I896" s="1"/>
      <c r="J896" s="5" t="str">
        <f>IF(C896="x","FOUT","")</f>
        <v/>
      </c>
      <c r="K896" s="5">
        <f>ABS(IF(J896="JUIST","1","0"))</f>
        <v>0</v>
      </c>
      <c r="L896" s="3"/>
      <c r="M896" s="1"/>
      <c r="N896" s="1"/>
    </row>
    <row r="897" spans="1:14" x14ac:dyDescent="0.2">
      <c r="A897" s="1"/>
      <c r="B897" s="61" t="s">
        <v>2416</v>
      </c>
      <c r="C897" s="3" t="s">
        <v>475</v>
      </c>
      <c r="D897" s="3" t="s">
        <v>476</v>
      </c>
      <c r="E897" s="3" t="s">
        <v>477</v>
      </c>
      <c r="F897" s="3" t="s">
        <v>478</v>
      </c>
      <c r="G897" s="1"/>
      <c r="H897" s="1"/>
      <c r="I897" s="1"/>
      <c r="J897" s="5" t="str">
        <f>IF(D896="x","FOUT","")</f>
        <v/>
      </c>
      <c r="K897" s="5">
        <f>ABS(IF(J897="JUIST","1","0"))</f>
        <v>0</v>
      </c>
      <c r="L897" s="3" t="s">
        <v>995</v>
      </c>
      <c r="M897" s="1"/>
      <c r="N897" s="1"/>
    </row>
    <row r="898" spans="1:14" x14ac:dyDescent="0.2">
      <c r="A898" s="1"/>
      <c r="B898" s="200" t="s">
        <v>753</v>
      </c>
      <c r="C898" s="1"/>
      <c r="D898" s="1"/>
      <c r="E898" s="1"/>
      <c r="F898" s="1"/>
      <c r="G898" s="1"/>
      <c r="H898" s="1"/>
      <c r="I898" s="1"/>
      <c r="J898" s="5" t="str">
        <f>IF(E896="x","FOUT","")</f>
        <v/>
      </c>
      <c r="K898" s="5">
        <f>ABS(IF(J898="JUIST","1","0"))</f>
        <v>0</v>
      </c>
      <c r="L898" s="3" t="s">
        <v>995</v>
      </c>
      <c r="M898" s="1"/>
      <c r="N898" s="1"/>
    </row>
    <row r="899" spans="1:14" x14ac:dyDescent="0.2">
      <c r="A899" s="1"/>
      <c r="B899" s="67" t="s">
        <v>2417</v>
      </c>
      <c r="C899" s="3"/>
      <c r="D899" s="1"/>
      <c r="E899" s="1"/>
      <c r="F899" s="1"/>
      <c r="G899" s="1"/>
      <c r="H899" s="1"/>
      <c r="I899" s="1"/>
      <c r="J899" s="5" t="str">
        <f>IF(F896="x","JUIST","")</f>
        <v/>
      </c>
      <c r="K899" s="5">
        <f>ABS(IF(J899="JUIST","1","0"))</f>
        <v>0</v>
      </c>
      <c r="L899" s="3">
        <v>1</v>
      </c>
      <c r="M899" s="1"/>
      <c r="N899" s="1"/>
    </row>
    <row r="900" spans="1:14" x14ac:dyDescent="0.2">
      <c r="A900" s="1"/>
      <c r="C900" s="1"/>
      <c r="D900" s="3"/>
      <c r="E900" s="471" t="s">
        <v>2702</v>
      </c>
      <c r="F900" s="3"/>
      <c r="G900" s="1"/>
      <c r="H900" s="1"/>
      <c r="I900" s="1"/>
      <c r="K900" s="1"/>
      <c r="L900" s="3"/>
      <c r="M900" s="1"/>
      <c r="N900" s="1"/>
    </row>
    <row r="901" spans="1:14" x14ac:dyDescent="0.2">
      <c r="A901" s="1"/>
      <c r="B901" s="82" t="s">
        <v>1033</v>
      </c>
      <c r="C901" s="318" t="s">
        <v>995</v>
      </c>
      <c r="D901" s="1"/>
      <c r="E901" s="171" t="s">
        <v>1806</v>
      </c>
      <c r="G901" s="1"/>
      <c r="H901" s="1"/>
      <c r="I901" s="1"/>
      <c r="J901" s="73" t="str">
        <f>IF(C901="x","Het juiste antwoord is:  D.","")</f>
        <v/>
      </c>
      <c r="K901" s="1"/>
      <c r="L901" s="3"/>
      <c r="M901" s="1"/>
      <c r="N901" s="1"/>
    </row>
    <row r="902" spans="1:14" x14ac:dyDescent="0.2">
      <c r="A902" s="1"/>
      <c r="B902" s="3" t="str">
        <f>IF(C901="x",J901,"")</f>
        <v/>
      </c>
      <c r="C902" s="1"/>
      <c r="D902" s="1"/>
      <c r="E902" s="1"/>
      <c r="F902" s="1"/>
      <c r="G902" s="1"/>
      <c r="H902" s="1"/>
      <c r="I902" s="1"/>
      <c r="J902" s="1"/>
      <c r="K902" s="1"/>
      <c r="L902" s="3"/>
      <c r="M902" s="1"/>
      <c r="N902" s="1"/>
    </row>
    <row r="903" spans="1:14" x14ac:dyDescent="0.2">
      <c r="A903" s="14"/>
      <c r="B903" s="14"/>
      <c r="C903" s="14"/>
      <c r="D903" s="180"/>
      <c r="E903" s="14"/>
      <c r="F903" s="14"/>
      <c r="G903" s="14"/>
      <c r="H903" s="14"/>
      <c r="I903" s="14"/>
      <c r="J903" s="1"/>
      <c r="K903" s="1"/>
      <c r="L903" s="3"/>
      <c r="M903" s="1"/>
      <c r="N903" s="1"/>
    </row>
    <row r="904" spans="1:14" x14ac:dyDescent="0.2">
      <c r="A904" s="1"/>
      <c r="B904" s="1"/>
      <c r="C904" s="1"/>
      <c r="D904" s="1"/>
      <c r="E904" s="1"/>
      <c r="F904" s="1"/>
      <c r="G904" s="1"/>
      <c r="H904" s="1"/>
      <c r="I904" s="1"/>
      <c r="J904" s="5" t="e">
        <f>SEARCH("wissel",D907)</f>
        <v>#VALUE!</v>
      </c>
      <c r="K904" s="1"/>
      <c r="L904" s="3"/>
      <c r="M904" s="1"/>
      <c r="N904" s="1"/>
    </row>
    <row r="905" spans="1:14" x14ac:dyDescent="0.2">
      <c r="A905" s="67" t="s">
        <v>99</v>
      </c>
      <c r="B905" s="67" t="s">
        <v>1800</v>
      </c>
      <c r="C905" s="1"/>
      <c r="D905" s="1" t="s">
        <v>1802</v>
      </c>
      <c r="E905" s="1"/>
      <c r="F905" s="1"/>
      <c r="G905" s="1"/>
      <c r="H905" s="1"/>
      <c r="I905" s="1"/>
      <c r="J905" s="5">
        <f>ABS(ISERR(J904))</f>
        <v>1</v>
      </c>
      <c r="K905" s="5">
        <f>ABS(IF(J905=0,"1","0"))</f>
        <v>0</v>
      </c>
      <c r="L905" s="3">
        <v>1</v>
      </c>
      <c r="M905" s="1" t="s">
        <v>1803</v>
      </c>
      <c r="N905" s="1"/>
    </row>
    <row r="906" spans="1:14" x14ac:dyDescent="0.2">
      <c r="A906" s="1"/>
      <c r="B906" s="1" t="s">
        <v>2419</v>
      </c>
      <c r="C906" s="1"/>
      <c r="D906" s="1"/>
      <c r="E906" s="1"/>
      <c r="F906" s="1"/>
      <c r="G906" s="1"/>
      <c r="H906" s="1"/>
      <c r="I906" s="1"/>
      <c r="J906" s="5" t="e">
        <f>SEARCH("gelijk",D908)</f>
        <v>#VALUE!</v>
      </c>
      <c r="K906" s="1"/>
      <c r="L906" s="3"/>
      <c r="M906" s="1"/>
      <c r="N906" s="1"/>
    </row>
    <row r="907" spans="1:14" x14ac:dyDescent="0.2">
      <c r="A907" s="1"/>
      <c r="B907" s="1" t="s">
        <v>2418</v>
      </c>
      <c r="C907" s="16" t="s">
        <v>998</v>
      </c>
      <c r="D907" s="352" t="s">
        <v>995</v>
      </c>
      <c r="E907" s="1" t="str">
        <f>IF(C911="x",M905,"")</f>
        <v/>
      </c>
      <c r="F907" s="1"/>
      <c r="G907" s="1"/>
      <c r="H907" s="1"/>
      <c r="I907" s="1"/>
      <c r="J907" s="5">
        <f>ABS(ISERR(J906))</f>
        <v>1</v>
      </c>
      <c r="K907" s="5">
        <f>ABS(IF(J907=0,"1","0"))</f>
        <v>0</v>
      </c>
      <c r="L907" s="3">
        <v>1</v>
      </c>
      <c r="M907" s="1" t="s">
        <v>1804</v>
      </c>
      <c r="N907" s="1"/>
    </row>
    <row r="908" spans="1:14" x14ac:dyDescent="0.2">
      <c r="A908" s="1"/>
      <c r="B908" s="1" t="s">
        <v>67</v>
      </c>
      <c r="C908" s="16" t="s">
        <v>1006</v>
      </c>
      <c r="D908" s="352" t="s">
        <v>995</v>
      </c>
      <c r="E908" s="1" t="str">
        <f>IF(C911="x",M907,"")</f>
        <v/>
      </c>
      <c r="F908" s="1"/>
      <c r="G908" s="1"/>
      <c r="H908" s="1"/>
      <c r="I908" s="1"/>
      <c r="J908" s="5" t="e">
        <f>SEARCH("tweerichting",D907)</f>
        <v>#VALUE!</v>
      </c>
      <c r="K908" s="1"/>
      <c r="L908" s="3"/>
      <c r="M908" s="1"/>
      <c r="N908" s="1"/>
    </row>
    <row r="909" spans="1:14" x14ac:dyDescent="0.2">
      <c r="A909" s="1"/>
      <c r="B909" s="1" t="s">
        <v>1801</v>
      </c>
      <c r="C909" s="1"/>
      <c r="D909" s="1"/>
      <c r="E909" s="1"/>
      <c r="F909" s="1"/>
      <c r="G909" s="1"/>
      <c r="H909" s="1"/>
      <c r="I909" s="1"/>
      <c r="J909" s="5">
        <f>ABS(ISERR(J908))</f>
        <v>1</v>
      </c>
      <c r="K909" s="5">
        <f>ABS(IF(J909=0,"1","0"))</f>
        <v>0</v>
      </c>
      <c r="L909" s="3"/>
      <c r="M909" s="1"/>
      <c r="N909" s="1"/>
    </row>
    <row r="910" spans="1:14" x14ac:dyDescent="0.2">
      <c r="A910" s="1"/>
      <c r="B910" s="1"/>
      <c r="C910" s="1"/>
      <c r="D910" s="1"/>
      <c r="E910" s="1"/>
      <c r="F910" s="1"/>
      <c r="G910" s="1"/>
      <c r="H910" s="1"/>
      <c r="I910" s="1"/>
      <c r="J910" s="1"/>
      <c r="K910" s="1"/>
      <c r="L910" s="3"/>
      <c r="M910" s="1"/>
      <c r="N910" s="1"/>
    </row>
    <row r="911" spans="1:14" x14ac:dyDescent="0.2">
      <c r="A911" s="1"/>
      <c r="B911" s="82" t="s">
        <v>1033</v>
      </c>
      <c r="C911" s="318" t="s">
        <v>995</v>
      </c>
      <c r="D911" s="1"/>
      <c r="E911" s="1"/>
      <c r="F911" s="1"/>
      <c r="G911" s="1"/>
      <c r="H911" s="1"/>
      <c r="I911" s="1"/>
      <c r="J911" s="1"/>
      <c r="K911" s="1"/>
      <c r="L911" s="3"/>
      <c r="M911" s="1"/>
      <c r="N911" s="1"/>
    </row>
    <row r="912" spans="1:14" x14ac:dyDescent="0.2">
      <c r="A912" s="1"/>
      <c r="B912" s="1"/>
      <c r="C912" s="1"/>
      <c r="D912" s="1"/>
      <c r="E912" s="1"/>
      <c r="F912" s="1"/>
      <c r="G912" s="1"/>
      <c r="H912" s="1"/>
      <c r="I912" s="1"/>
      <c r="J912" s="1"/>
      <c r="K912" s="1"/>
      <c r="L912" s="3"/>
      <c r="M912" s="1"/>
      <c r="N912" s="1"/>
    </row>
    <row r="913" spans="1:14" x14ac:dyDescent="0.2">
      <c r="A913" s="14"/>
      <c r="B913" s="14"/>
      <c r="C913" s="14"/>
      <c r="D913" s="180"/>
      <c r="E913" s="14"/>
      <c r="F913" s="14"/>
      <c r="G913" s="14"/>
      <c r="H913" s="14"/>
      <c r="I913" s="14"/>
      <c r="J913" s="1"/>
      <c r="K913" s="1"/>
      <c r="L913" s="3"/>
      <c r="M913" s="1"/>
      <c r="N913" s="1"/>
    </row>
    <row r="914" spans="1:14" x14ac:dyDescent="0.2">
      <c r="A914" s="1"/>
      <c r="B914" s="1"/>
      <c r="C914" s="1"/>
      <c r="D914" s="1"/>
      <c r="E914" s="1"/>
      <c r="F914" s="1"/>
      <c r="G914" s="1"/>
      <c r="H914" s="1"/>
      <c r="I914" s="1"/>
      <c r="J914" s="5" t="str">
        <f>IF(E917="x","JUIST","")</f>
        <v/>
      </c>
      <c r="K914" s="1"/>
      <c r="L914" s="3"/>
      <c r="M914" s="1"/>
      <c r="N914" s="1"/>
    </row>
    <row r="915" spans="1:14" x14ac:dyDescent="0.2">
      <c r="A915" s="67" t="s">
        <v>105</v>
      </c>
      <c r="B915" s="61" t="s">
        <v>2420</v>
      </c>
      <c r="C915" s="1"/>
      <c r="D915" s="1"/>
      <c r="E915" s="1"/>
      <c r="F915" s="1"/>
      <c r="G915" s="1"/>
      <c r="H915" s="1"/>
      <c r="I915" s="1"/>
      <c r="J915" s="1"/>
      <c r="K915" s="6">
        <f>IF(E917="x",1,0)</f>
        <v>0</v>
      </c>
      <c r="L915" s="3">
        <v>1</v>
      </c>
      <c r="M915" s="1"/>
      <c r="N915" s="1"/>
    </row>
    <row r="916" spans="1:14" x14ac:dyDescent="0.2">
      <c r="A916" s="1"/>
      <c r="B916" s="547" t="s">
        <v>2421</v>
      </c>
      <c r="C916" s="1"/>
      <c r="D916" s="5" t="s">
        <v>1817</v>
      </c>
      <c r="E916" s="5" t="s">
        <v>1818</v>
      </c>
      <c r="F916" s="1"/>
      <c r="G916" s="1"/>
      <c r="H916" s="1"/>
      <c r="I916" s="1"/>
      <c r="J916" s="1"/>
      <c r="K916" s="1"/>
      <c r="L916" s="3"/>
      <c r="M916" s="1"/>
      <c r="N916" s="1"/>
    </row>
    <row r="917" spans="1:14" x14ac:dyDescent="0.2">
      <c r="A917" s="1"/>
      <c r="B917" s="67" t="s">
        <v>1815</v>
      </c>
      <c r="C917" s="1"/>
      <c r="D917" s="318" t="s">
        <v>995</v>
      </c>
      <c r="E917" s="318" t="s">
        <v>995</v>
      </c>
      <c r="F917" s="1"/>
      <c r="G917" s="1"/>
      <c r="H917" s="1"/>
      <c r="I917" s="1"/>
      <c r="J917" s="1"/>
      <c r="K917" s="1"/>
      <c r="L917" s="3"/>
      <c r="M917" s="1"/>
      <c r="N917" s="1"/>
    </row>
    <row r="918" spans="1:14" x14ac:dyDescent="0.2">
      <c r="A918" s="1"/>
      <c r="B918" s="67" t="s">
        <v>2422</v>
      </c>
      <c r="C918" s="1"/>
      <c r="D918" s="1"/>
      <c r="E918" s="1"/>
      <c r="F918" s="1"/>
      <c r="G918" s="1"/>
      <c r="H918" s="1"/>
      <c r="I918" s="1"/>
      <c r="J918" s="1"/>
      <c r="K918" s="1"/>
      <c r="L918" s="3"/>
      <c r="M918" s="1"/>
      <c r="N918" s="1"/>
    </row>
    <row r="919" spans="1:14" x14ac:dyDescent="0.2">
      <c r="A919" s="1"/>
      <c r="B919" s="1" t="s">
        <v>1816</v>
      </c>
      <c r="C919" s="1"/>
      <c r="D919" s="1"/>
      <c r="E919" s="1"/>
      <c r="F919" s="1"/>
      <c r="G919" s="1"/>
      <c r="H919" s="1"/>
      <c r="I919" s="1"/>
      <c r="J919" s="1"/>
      <c r="K919" s="1"/>
      <c r="L919" s="3"/>
      <c r="M919" s="1"/>
      <c r="N919" s="1"/>
    </row>
    <row r="920" spans="1:14" x14ac:dyDescent="0.2">
      <c r="A920" s="1"/>
      <c r="B920" s="1"/>
      <c r="C920" s="1"/>
      <c r="D920" s="1"/>
      <c r="E920" s="1"/>
      <c r="F920" s="1"/>
      <c r="G920" s="1"/>
      <c r="H920" s="1"/>
      <c r="I920" s="1"/>
      <c r="J920" s="1"/>
      <c r="K920" s="1"/>
      <c r="L920" s="3"/>
      <c r="M920" s="1"/>
      <c r="N920" s="1"/>
    </row>
    <row r="921" spans="1:14" x14ac:dyDescent="0.2">
      <c r="A921" s="14"/>
      <c r="B921" s="14"/>
      <c r="C921" s="14"/>
      <c r="D921" s="180"/>
      <c r="E921" s="14"/>
      <c r="F921" s="14"/>
      <c r="G921" s="14"/>
      <c r="H921" s="14"/>
      <c r="I921" s="14"/>
      <c r="J921" s="1"/>
      <c r="K921" s="1"/>
      <c r="L921" s="3"/>
      <c r="M921" s="1"/>
      <c r="N921" s="1"/>
    </row>
    <row r="922" spans="1:14" x14ac:dyDescent="0.2">
      <c r="A922" s="1"/>
      <c r="B922" s="1"/>
      <c r="C922" s="1"/>
      <c r="D922" s="1"/>
      <c r="E922" s="1"/>
      <c r="F922" s="1"/>
      <c r="G922" s="1"/>
      <c r="H922" s="1"/>
      <c r="I922" s="1"/>
      <c r="J922" s="5" t="str">
        <f>IF(D925="x","JUIST","")</f>
        <v/>
      </c>
      <c r="K922" s="1"/>
      <c r="L922" s="3"/>
      <c r="M922" s="1"/>
      <c r="N922" s="1"/>
    </row>
    <row r="923" spans="1:14" x14ac:dyDescent="0.2">
      <c r="A923" s="67" t="s">
        <v>106</v>
      </c>
      <c r="B923" s="61" t="s">
        <v>1814</v>
      </c>
      <c r="C923" s="1"/>
      <c r="D923" s="1"/>
      <c r="E923" s="1"/>
      <c r="F923" s="1"/>
      <c r="G923" s="1"/>
      <c r="H923" s="1"/>
      <c r="I923" s="1"/>
      <c r="J923" s="1"/>
      <c r="K923" s="6">
        <f>IF(D925="x",1,0)</f>
        <v>0</v>
      </c>
      <c r="L923" s="3">
        <v>1</v>
      </c>
      <c r="M923" s="1"/>
      <c r="N923" s="1"/>
    </row>
    <row r="924" spans="1:14" x14ac:dyDescent="0.2">
      <c r="A924" s="1"/>
      <c r="B924" s="547" t="s">
        <v>2423</v>
      </c>
      <c r="C924" s="1"/>
      <c r="D924" s="5" t="s">
        <v>1817</v>
      </c>
      <c r="E924" s="5" t="s">
        <v>1818</v>
      </c>
      <c r="F924" s="1"/>
      <c r="G924" s="1"/>
      <c r="H924" s="1"/>
      <c r="I924" s="1"/>
      <c r="J924" s="1"/>
      <c r="K924" s="1"/>
      <c r="L924" s="3"/>
      <c r="M924" s="1"/>
      <c r="N924" s="1"/>
    </row>
    <row r="925" spans="1:14" x14ac:dyDescent="0.2">
      <c r="A925" s="1"/>
      <c r="B925" s="67" t="s">
        <v>2424</v>
      </c>
      <c r="C925" s="1"/>
      <c r="D925" s="318" t="s">
        <v>995</v>
      </c>
      <c r="E925" s="318" t="s">
        <v>995</v>
      </c>
      <c r="F925" s="1"/>
      <c r="G925" s="1"/>
      <c r="H925" s="1"/>
      <c r="I925" s="1"/>
      <c r="J925" s="1"/>
      <c r="K925" s="1"/>
      <c r="L925" s="3"/>
      <c r="M925" s="1"/>
      <c r="N925" s="1"/>
    </row>
    <row r="926" spans="1:14" x14ac:dyDescent="0.2">
      <c r="A926" s="1"/>
      <c r="B926" s="67" t="s">
        <v>2628</v>
      </c>
      <c r="C926" s="1"/>
      <c r="D926" s="1"/>
      <c r="E926" s="1"/>
      <c r="F926" s="1"/>
      <c r="G926" s="1"/>
      <c r="H926" s="1"/>
      <c r="I926" s="1"/>
      <c r="J926" s="1"/>
      <c r="K926" s="1"/>
      <c r="L926" s="3"/>
      <c r="M926" s="1"/>
      <c r="N926" s="1"/>
    </row>
    <row r="927" spans="1:14" x14ac:dyDescent="0.2">
      <c r="A927" s="1"/>
      <c r="B927" s="1" t="s">
        <v>1816</v>
      </c>
      <c r="C927" s="1"/>
      <c r="D927" s="1"/>
      <c r="E927" s="1"/>
      <c r="F927" s="1"/>
      <c r="G927" s="1"/>
      <c r="H927" s="1"/>
      <c r="I927" s="1"/>
      <c r="J927" s="1"/>
      <c r="K927" s="1"/>
      <c r="L927" s="3"/>
      <c r="M927" s="1"/>
      <c r="N927" s="1"/>
    </row>
    <row r="928" spans="1:14" x14ac:dyDescent="0.2">
      <c r="A928" s="1"/>
      <c r="B928" s="1"/>
      <c r="C928" s="1"/>
      <c r="D928" s="1"/>
      <c r="E928" s="1"/>
      <c r="F928" s="1"/>
      <c r="G928" s="1"/>
      <c r="H928" s="1"/>
      <c r="I928" s="1"/>
      <c r="J928" s="1"/>
      <c r="K928" s="1"/>
      <c r="L928" s="3"/>
      <c r="M928" s="1"/>
      <c r="N928" s="1"/>
    </row>
    <row r="929" spans="1:14" x14ac:dyDescent="0.2">
      <c r="A929" s="14"/>
      <c r="B929" s="14"/>
      <c r="C929" s="14"/>
      <c r="D929" s="180"/>
      <c r="E929" s="14"/>
      <c r="F929" s="14"/>
      <c r="G929" s="14"/>
      <c r="H929" s="14"/>
      <c r="I929" s="14"/>
      <c r="J929" s="1"/>
      <c r="K929" s="1"/>
      <c r="L929" s="3"/>
      <c r="M929" s="1"/>
      <c r="N929" s="1"/>
    </row>
    <row r="930" spans="1:14" x14ac:dyDescent="0.2">
      <c r="A930" s="1"/>
      <c r="B930" s="1"/>
      <c r="C930" s="1"/>
      <c r="D930" s="1"/>
      <c r="E930" s="1"/>
      <c r="F930" s="1"/>
      <c r="G930" s="1"/>
      <c r="H930" s="1"/>
      <c r="I930" s="1"/>
      <c r="J930" s="1"/>
      <c r="K930" s="1"/>
      <c r="L930" s="3"/>
      <c r="M930" s="1"/>
      <c r="N930" s="1"/>
    </row>
    <row r="931" spans="1:14" x14ac:dyDescent="0.2">
      <c r="A931" s="67" t="s">
        <v>107</v>
      </c>
      <c r="B931" s="1" t="s">
        <v>69</v>
      </c>
      <c r="C931" s="1"/>
      <c r="D931" s="511" t="s">
        <v>72</v>
      </c>
      <c r="E931" s="511" t="s">
        <v>74</v>
      </c>
      <c r="F931" s="1"/>
      <c r="G931" s="1"/>
      <c r="H931" s="1"/>
      <c r="I931" s="1"/>
      <c r="J931" s="1"/>
      <c r="K931" s="1"/>
      <c r="L931" s="3"/>
      <c r="M931" s="1"/>
      <c r="N931" s="1"/>
    </row>
    <row r="932" spans="1:14" x14ac:dyDescent="0.2">
      <c r="A932" s="1"/>
      <c r="B932" s="339" t="s">
        <v>70</v>
      </c>
      <c r="C932" s="1"/>
      <c r="D932" s="512" t="s">
        <v>73</v>
      </c>
      <c r="E932" s="512" t="s">
        <v>73</v>
      </c>
      <c r="F932" s="1"/>
      <c r="G932" s="1"/>
      <c r="H932" s="1"/>
      <c r="I932" s="1"/>
      <c r="J932" s="1"/>
      <c r="K932" s="1"/>
      <c r="L932" s="3"/>
      <c r="M932" s="1"/>
      <c r="N932" s="1"/>
    </row>
    <row r="933" spans="1:14" x14ac:dyDescent="0.2">
      <c r="A933" s="1"/>
      <c r="B933" s="1"/>
      <c r="C933" s="1"/>
      <c r="D933" s="3"/>
      <c r="E933" s="3"/>
      <c r="F933" s="1"/>
      <c r="G933" s="1"/>
      <c r="H933" s="1"/>
      <c r="I933" s="1"/>
      <c r="J933" s="1"/>
      <c r="K933" s="1"/>
      <c r="L933" s="3"/>
      <c r="M933" s="1"/>
      <c r="N933" s="1"/>
    </row>
    <row r="934" spans="1:14" x14ac:dyDescent="0.2">
      <c r="A934" s="6" t="s">
        <v>999</v>
      </c>
      <c r="B934" s="485" t="s">
        <v>75</v>
      </c>
      <c r="C934" s="1"/>
      <c r="D934" s="318" t="s">
        <v>995</v>
      </c>
      <c r="E934" s="318" t="s">
        <v>995</v>
      </c>
      <c r="F934" s="1"/>
      <c r="G934" s="1"/>
      <c r="H934" s="1"/>
      <c r="I934" s="1"/>
      <c r="J934" s="5" t="str">
        <f>IF(D934="x","JUIST","")</f>
        <v/>
      </c>
      <c r="K934" s="5">
        <f>ABS(IF(J934="JUIST","1","0"))</f>
        <v>0</v>
      </c>
      <c r="L934" s="3">
        <v>1</v>
      </c>
      <c r="M934" s="1"/>
      <c r="N934" s="1"/>
    </row>
    <row r="935" spans="1:14" x14ac:dyDescent="0.2">
      <c r="A935" s="6" t="s">
        <v>1000</v>
      </c>
      <c r="B935" s="485" t="s">
        <v>76</v>
      </c>
      <c r="C935" s="1"/>
      <c r="D935" s="318" t="s">
        <v>995</v>
      </c>
      <c r="E935" s="318" t="s">
        <v>995</v>
      </c>
      <c r="F935" s="1"/>
      <c r="G935" s="1"/>
      <c r="H935" s="1"/>
      <c r="I935" s="1"/>
      <c r="J935" s="5" t="str">
        <f>IF(E935="x","JUIST","")</f>
        <v/>
      </c>
      <c r="K935" s="5">
        <f>ABS(IF(J935="JUIST","1","0"))</f>
        <v>0</v>
      </c>
      <c r="L935" s="3">
        <v>1</v>
      </c>
      <c r="M935" s="1"/>
      <c r="N935" s="1"/>
    </row>
    <row r="936" spans="1:14" x14ac:dyDescent="0.2">
      <c r="A936" s="6" t="s">
        <v>1001</v>
      </c>
      <c r="B936" s="485" t="s">
        <v>77</v>
      </c>
      <c r="C936" s="1"/>
      <c r="D936" s="318" t="s">
        <v>995</v>
      </c>
      <c r="E936" s="318" t="s">
        <v>995</v>
      </c>
      <c r="F936" s="1"/>
      <c r="G936" s="1"/>
      <c r="H936" s="1"/>
      <c r="I936" s="1"/>
      <c r="J936" s="5" t="str">
        <f>IF(E936="x","JUIST","")</f>
        <v/>
      </c>
      <c r="K936" s="5">
        <f>ABS(IF(J936="JUIST","1","0"))</f>
        <v>0</v>
      </c>
      <c r="L936" s="3">
        <v>1</v>
      </c>
      <c r="M936" s="1"/>
      <c r="N936" s="1"/>
    </row>
    <row r="937" spans="1:14" x14ac:dyDescent="0.2">
      <c r="A937" s="6" t="s">
        <v>1002</v>
      </c>
      <c r="B937" s="485" t="s">
        <v>78</v>
      </c>
      <c r="C937" s="1"/>
      <c r="D937" s="318" t="s">
        <v>995</v>
      </c>
      <c r="E937" s="318" t="s">
        <v>995</v>
      </c>
      <c r="F937" s="1"/>
      <c r="G937" s="1"/>
      <c r="H937" s="1"/>
      <c r="I937" s="1"/>
      <c r="J937" s="5" t="str">
        <f>IF(D937="x","JUIST","")</f>
        <v/>
      </c>
      <c r="K937" s="5">
        <f>ABS(IF(J937="JUIST","1","0"))</f>
        <v>0</v>
      </c>
      <c r="L937" s="3">
        <v>1</v>
      </c>
      <c r="M937" s="1"/>
      <c r="N937" s="1"/>
    </row>
    <row r="938" spans="1:14" x14ac:dyDescent="0.2">
      <c r="A938" s="6" t="s">
        <v>863</v>
      </c>
      <c r="B938" s="485" t="s">
        <v>79</v>
      </c>
      <c r="C938" s="1"/>
      <c r="D938" s="318" t="s">
        <v>995</v>
      </c>
      <c r="E938" s="318" t="s">
        <v>995</v>
      </c>
      <c r="F938" s="1"/>
      <c r="G938" s="1"/>
      <c r="H938" s="1"/>
      <c r="I938" s="1"/>
      <c r="J938" s="5" t="str">
        <f>IF(D938="x","JUIST","")</f>
        <v/>
      </c>
      <c r="K938" s="5">
        <f>ABS(IF(J938="JUIST","1","0"))</f>
        <v>0</v>
      </c>
      <c r="L938" s="3">
        <v>1</v>
      </c>
      <c r="M938" s="1"/>
      <c r="N938" s="1"/>
    </row>
    <row r="939" spans="1:14" x14ac:dyDescent="0.2">
      <c r="A939" s="1"/>
      <c r="B939" s="1"/>
      <c r="C939" s="1"/>
      <c r="D939" s="1"/>
      <c r="E939" s="1"/>
      <c r="F939" s="1"/>
      <c r="G939" s="1"/>
      <c r="H939" s="1"/>
      <c r="I939" s="1"/>
      <c r="J939" s="1"/>
      <c r="K939" s="1"/>
      <c r="L939" s="3"/>
      <c r="M939" s="1"/>
      <c r="N939" s="1"/>
    </row>
    <row r="940" spans="1:14" x14ac:dyDescent="0.2">
      <c r="A940" s="14"/>
      <c r="B940" s="14"/>
      <c r="C940" s="14"/>
      <c r="D940" s="180"/>
      <c r="E940" s="14"/>
      <c r="F940" s="14"/>
      <c r="G940" s="14"/>
      <c r="H940" s="14"/>
      <c r="I940" s="14"/>
      <c r="J940" s="1"/>
      <c r="K940" s="1"/>
      <c r="L940" s="3"/>
      <c r="M940" s="1"/>
      <c r="N940" s="1"/>
    </row>
    <row r="941" spans="1:14" x14ac:dyDescent="0.2">
      <c r="A941" s="1"/>
      <c r="B941" s="1"/>
      <c r="C941" s="1"/>
      <c r="D941" s="1"/>
      <c r="E941" s="1"/>
      <c r="F941" s="1"/>
      <c r="G941" s="1"/>
      <c r="H941" s="1"/>
      <c r="I941" s="1"/>
      <c r="J941" s="1"/>
      <c r="K941" s="1"/>
      <c r="L941" s="3"/>
      <c r="M941" s="1"/>
      <c r="N941" s="1"/>
    </row>
    <row r="942" spans="1:14" x14ac:dyDescent="0.2">
      <c r="A942" s="67" t="s">
        <v>113</v>
      </c>
      <c r="B942" s="1" t="s">
        <v>81</v>
      </c>
      <c r="C942" s="1"/>
      <c r="D942" s="1"/>
      <c r="E942" s="1"/>
      <c r="F942" s="1"/>
      <c r="G942" s="1"/>
      <c r="H942" s="1"/>
      <c r="I942" s="1"/>
      <c r="J942" s="1"/>
      <c r="K942" s="1"/>
      <c r="L942" s="3"/>
      <c r="M942" s="1"/>
      <c r="N942" s="1"/>
    </row>
    <row r="943" spans="1:14" ht="13.5" thickBot="1" x14ac:dyDescent="0.25">
      <c r="A943" s="1"/>
      <c r="B943" s="1"/>
      <c r="C943" s="92" t="s">
        <v>1817</v>
      </c>
      <c r="D943" s="92" t="s">
        <v>1818</v>
      </c>
      <c r="E943" s="1"/>
      <c r="F943" s="1"/>
      <c r="G943" s="1"/>
      <c r="H943" s="1"/>
      <c r="I943" s="1"/>
      <c r="J943" s="1"/>
      <c r="K943" s="1"/>
      <c r="L943" s="3"/>
      <c r="M943" s="1"/>
      <c r="N943" s="1"/>
    </row>
    <row r="944" spans="1:14" ht="13.5" thickTop="1" x14ac:dyDescent="0.2">
      <c r="A944" s="54" t="s">
        <v>999</v>
      </c>
      <c r="B944" s="483" t="s">
        <v>82</v>
      </c>
      <c r="C944" s="423"/>
      <c r="D944" s="424"/>
      <c r="E944" s="1"/>
      <c r="F944" s="1"/>
      <c r="G944" s="1"/>
      <c r="H944" s="1"/>
      <c r="I944" s="1"/>
      <c r="J944" s="1"/>
      <c r="K944" s="1"/>
      <c r="L944" s="3"/>
      <c r="M944" s="1"/>
      <c r="N944" s="1"/>
    </row>
    <row r="945" spans="1:14" x14ac:dyDescent="0.2">
      <c r="A945" s="55"/>
      <c r="B945" s="64" t="s">
        <v>83</v>
      </c>
      <c r="C945" s="407"/>
      <c r="D945" s="406"/>
      <c r="E945" s="1"/>
      <c r="F945" s="1"/>
      <c r="G945" s="1"/>
      <c r="H945" s="1"/>
      <c r="I945" s="1"/>
      <c r="J945" s="1"/>
      <c r="K945" s="1"/>
      <c r="L945" s="3"/>
      <c r="M945" s="1"/>
      <c r="N945" s="1"/>
    </row>
    <row r="946" spans="1:14" x14ac:dyDescent="0.2">
      <c r="A946" s="55"/>
      <c r="B946" s="64" t="s">
        <v>84</v>
      </c>
      <c r="C946" s="318" t="s">
        <v>995</v>
      </c>
      <c r="D946" s="318" t="s">
        <v>995</v>
      </c>
      <c r="E946" s="1"/>
      <c r="F946" s="1"/>
      <c r="G946" s="1"/>
      <c r="H946" s="1"/>
      <c r="I946" s="1"/>
      <c r="J946" s="5" t="str">
        <f>IF(D946="x","JUIST","")</f>
        <v/>
      </c>
      <c r="K946" s="6">
        <f>IF(D946="x",1,0)</f>
        <v>0</v>
      </c>
      <c r="L946" s="3">
        <v>1</v>
      </c>
      <c r="M946" s="1"/>
      <c r="N946" s="1"/>
    </row>
    <row r="947" spans="1:14" x14ac:dyDescent="0.2">
      <c r="A947" s="54" t="s">
        <v>1000</v>
      </c>
      <c r="B947" s="483" t="s">
        <v>85</v>
      </c>
      <c r="C947" s="407"/>
      <c r="D947" s="406"/>
      <c r="E947" s="1"/>
      <c r="F947" s="1"/>
      <c r="G947" s="1"/>
      <c r="H947" s="1"/>
      <c r="I947" s="1"/>
      <c r="J947" s="1"/>
      <c r="K947" s="1"/>
      <c r="L947" s="3"/>
      <c r="M947" s="1"/>
      <c r="N947" s="1"/>
    </row>
    <row r="948" spans="1:14" x14ac:dyDescent="0.2">
      <c r="A948" s="55"/>
      <c r="B948" s="64" t="s">
        <v>86</v>
      </c>
      <c r="C948" s="407"/>
      <c r="D948" s="406"/>
      <c r="E948" s="1"/>
      <c r="F948" s="1"/>
      <c r="G948" s="1"/>
      <c r="H948" s="1"/>
      <c r="I948" s="1"/>
      <c r="J948" s="1"/>
      <c r="K948" s="1"/>
      <c r="M948" s="1"/>
      <c r="N948" s="1"/>
    </row>
    <row r="949" spans="1:14" x14ac:dyDescent="0.2">
      <c r="A949" s="55"/>
      <c r="B949" s="64" t="s">
        <v>87</v>
      </c>
      <c r="C949" s="318" t="s">
        <v>995</v>
      </c>
      <c r="D949" s="318" t="s">
        <v>995</v>
      </c>
      <c r="E949" s="1"/>
      <c r="F949" s="1"/>
      <c r="G949" s="1"/>
      <c r="H949" s="1"/>
      <c r="I949" s="1"/>
      <c r="J949" s="5" t="str">
        <f>IF(C949="x","JUIST","")</f>
        <v/>
      </c>
      <c r="K949" s="6">
        <f>IF(C949="x",1,0)</f>
        <v>0</v>
      </c>
      <c r="L949" s="3">
        <v>1</v>
      </c>
      <c r="M949" s="1"/>
      <c r="N949" s="1"/>
    </row>
    <row r="950" spans="1:14" x14ac:dyDescent="0.2">
      <c r="A950" s="54" t="s">
        <v>1001</v>
      </c>
      <c r="B950" s="483" t="s">
        <v>88</v>
      </c>
      <c r="C950" s="407"/>
      <c r="D950" s="406"/>
      <c r="E950" s="1"/>
      <c r="F950" s="1"/>
      <c r="G950" s="1"/>
      <c r="H950" s="1"/>
      <c r="I950" s="1"/>
      <c r="J950" s="1"/>
      <c r="K950" s="1"/>
      <c r="L950" s="3"/>
      <c r="M950" s="1"/>
      <c r="N950" s="1"/>
    </row>
    <row r="951" spans="1:14" x14ac:dyDescent="0.2">
      <c r="A951" s="55"/>
      <c r="B951" s="64" t="s">
        <v>89</v>
      </c>
      <c r="C951" s="407"/>
      <c r="D951" s="406"/>
      <c r="E951" s="1"/>
      <c r="F951" s="1"/>
      <c r="G951" s="1"/>
      <c r="H951" s="1"/>
      <c r="I951" s="1"/>
      <c r="K951" s="1"/>
      <c r="L951" s="3"/>
      <c r="M951" s="1"/>
      <c r="N951" s="1"/>
    </row>
    <row r="952" spans="1:14" x14ac:dyDescent="0.2">
      <c r="A952" s="55"/>
      <c r="B952" s="64" t="s">
        <v>90</v>
      </c>
      <c r="C952" s="318" t="s">
        <v>995</v>
      </c>
      <c r="D952" s="318" t="s">
        <v>995</v>
      </c>
      <c r="E952" s="1"/>
      <c r="F952" s="1"/>
      <c r="G952" s="1"/>
      <c r="H952" s="1"/>
      <c r="I952" s="1"/>
      <c r="J952" s="5" t="str">
        <f>IF(C952="x","JUIST","")</f>
        <v/>
      </c>
      <c r="K952" s="6">
        <f>IF(C952="x",1,0)</f>
        <v>0</v>
      </c>
      <c r="L952" s="3">
        <v>1</v>
      </c>
      <c r="M952" s="1"/>
      <c r="N952" s="1"/>
    </row>
    <row r="953" spans="1:14" x14ac:dyDescent="0.2">
      <c r="A953" s="54" t="s">
        <v>91</v>
      </c>
      <c r="B953" s="483" t="s">
        <v>92</v>
      </c>
      <c r="C953" s="407"/>
      <c r="D953" s="406"/>
      <c r="E953" s="1"/>
      <c r="F953" s="1"/>
      <c r="G953" s="1"/>
      <c r="H953" s="1"/>
      <c r="I953" s="1"/>
      <c r="K953" s="1"/>
      <c r="L953" s="3"/>
      <c r="M953" s="1"/>
      <c r="N953" s="1"/>
    </row>
    <row r="954" spans="1:14" x14ac:dyDescent="0.2">
      <c r="A954" s="55"/>
      <c r="B954" s="354" t="s">
        <v>93</v>
      </c>
      <c r="C954" s="318" t="s">
        <v>995</v>
      </c>
      <c r="D954" s="318" t="s">
        <v>995</v>
      </c>
      <c r="E954" s="1"/>
      <c r="F954" s="1"/>
      <c r="G954" s="1"/>
      <c r="H954" s="1"/>
      <c r="I954" s="1"/>
      <c r="J954" s="5" t="str">
        <f>IF(D954="x","JUIST","")</f>
        <v/>
      </c>
      <c r="K954" s="6">
        <f>IF(D954="x",1,0)</f>
        <v>0</v>
      </c>
      <c r="L954" s="3">
        <v>1</v>
      </c>
      <c r="M954" s="1"/>
      <c r="N954" s="1"/>
    </row>
    <row r="955" spans="1:14" x14ac:dyDescent="0.2">
      <c r="A955" s="54" t="s">
        <v>863</v>
      </c>
      <c r="B955" s="483" t="s">
        <v>97</v>
      </c>
      <c r="C955" s="407"/>
      <c r="D955" s="406"/>
      <c r="E955" s="1"/>
      <c r="F955" s="1"/>
      <c r="G955" s="1"/>
      <c r="H955" s="1"/>
      <c r="I955" s="1"/>
      <c r="J955" s="1"/>
      <c r="K955" s="1"/>
      <c r="M955" s="1"/>
      <c r="N955" s="1"/>
    </row>
    <row r="956" spans="1:14" x14ac:dyDescent="0.2">
      <c r="A956" s="55"/>
      <c r="B956" s="64" t="s">
        <v>2425</v>
      </c>
      <c r="C956" s="407"/>
      <c r="D956" s="406"/>
      <c r="E956" s="1"/>
      <c r="F956" s="1"/>
      <c r="G956" s="1"/>
      <c r="H956" s="1"/>
      <c r="I956" s="1"/>
      <c r="K956" s="1"/>
      <c r="L956" s="3"/>
      <c r="M956" s="1"/>
      <c r="N956" s="1"/>
    </row>
    <row r="957" spans="1:14" x14ac:dyDescent="0.2">
      <c r="A957" s="55"/>
      <c r="B957" s="64" t="s">
        <v>98</v>
      </c>
      <c r="C957" s="318" t="s">
        <v>995</v>
      </c>
      <c r="D957" s="318" t="s">
        <v>995</v>
      </c>
      <c r="E957" s="1"/>
      <c r="F957" s="1"/>
      <c r="G957" s="1"/>
      <c r="H957" s="1"/>
      <c r="I957" s="1"/>
      <c r="J957" s="5" t="str">
        <f>IF(D957="x","JUIST","")</f>
        <v/>
      </c>
      <c r="K957" s="6">
        <f>IF(D957="x",1,0)</f>
        <v>0</v>
      </c>
      <c r="L957" s="3">
        <v>1</v>
      </c>
      <c r="M957" s="1"/>
      <c r="N957" s="1"/>
    </row>
    <row r="958" spans="1:14" x14ac:dyDescent="0.2">
      <c r="A958" s="54" t="s">
        <v>1080</v>
      </c>
      <c r="B958" s="483" t="s">
        <v>94</v>
      </c>
      <c r="C958" s="407"/>
      <c r="D958" s="406"/>
      <c r="E958" s="1"/>
      <c r="F958" s="1"/>
      <c r="G958" s="1"/>
      <c r="H958" s="1"/>
      <c r="I958" s="1"/>
      <c r="J958" s="1"/>
      <c r="K958" s="1"/>
      <c r="L958" s="3"/>
      <c r="M958" s="1"/>
      <c r="N958" s="1"/>
    </row>
    <row r="959" spans="1:14" x14ac:dyDescent="0.2">
      <c r="A959" s="55"/>
      <c r="B959" s="64" t="s">
        <v>95</v>
      </c>
      <c r="C959" s="407"/>
      <c r="D959" s="406"/>
      <c r="E959" s="1"/>
      <c r="F959" s="1"/>
      <c r="G959" s="1"/>
      <c r="H959" s="1"/>
      <c r="I959" s="1"/>
      <c r="J959" s="1"/>
      <c r="K959" s="1"/>
      <c r="L959" s="3"/>
      <c r="M959" s="1"/>
      <c r="N959" s="1"/>
    </row>
    <row r="960" spans="1:14" x14ac:dyDescent="0.2">
      <c r="A960" s="28"/>
      <c r="B960" s="484" t="s">
        <v>96</v>
      </c>
      <c r="C960" s="318" t="s">
        <v>995</v>
      </c>
      <c r="D960" s="318" t="s">
        <v>995</v>
      </c>
      <c r="E960" s="1"/>
      <c r="F960" s="1"/>
      <c r="G960" s="1"/>
      <c r="H960" s="1"/>
      <c r="I960" s="1"/>
      <c r="J960" s="5" t="str">
        <f>IF(C960="x","JUIST","")</f>
        <v/>
      </c>
      <c r="K960" s="6">
        <f>IF(C960="x",1,0)</f>
        <v>0</v>
      </c>
      <c r="L960" s="3">
        <v>1</v>
      </c>
      <c r="M960" s="1"/>
      <c r="N960" s="1"/>
    </row>
    <row r="961" spans="1:14" x14ac:dyDescent="0.2">
      <c r="A961" s="1"/>
      <c r="B961" s="1"/>
      <c r="C961" s="1"/>
      <c r="D961" s="1"/>
      <c r="E961" s="1"/>
      <c r="F961" s="1"/>
      <c r="G961" s="1"/>
      <c r="H961" s="1"/>
      <c r="I961" s="1"/>
      <c r="J961" s="1"/>
      <c r="K961" s="1"/>
      <c r="L961" s="3"/>
      <c r="M961" s="1"/>
      <c r="N961" s="1"/>
    </row>
    <row r="962" spans="1:14" x14ac:dyDescent="0.2">
      <c r="A962" s="14"/>
      <c r="B962" s="14"/>
      <c r="C962" s="14"/>
      <c r="D962" s="180"/>
      <c r="E962" s="14"/>
      <c r="F962" s="14"/>
      <c r="G962" s="14"/>
      <c r="H962" s="14"/>
      <c r="I962" s="14"/>
      <c r="J962" s="5" t="e">
        <f>SEARCH("prestatie",D965)</f>
        <v>#VALUE!</v>
      </c>
      <c r="K962" s="1"/>
      <c r="L962" s="3"/>
      <c r="M962" s="1"/>
      <c r="N962" s="1"/>
    </row>
    <row r="963" spans="1:14" x14ac:dyDescent="0.2">
      <c r="A963" s="1"/>
      <c r="B963" s="1"/>
      <c r="C963" s="1"/>
      <c r="D963" s="1"/>
      <c r="E963" s="1"/>
      <c r="F963" s="1"/>
      <c r="G963" s="1"/>
      <c r="H963" s="1"/>
      <c r="I963" s="1"/>
      <c r="J963" s="84">
        <f>ABS(ISERR(J962))</f>
        <v>1</v>
      </c>
      <c r="K963" s="5">
        <f>ABS(IF(J963=0,"1","0"))</f>
        <v>0</v>
      </c>
      <c r="L963" s="3">
        <v>1</v>
      </c>
      <c r="M963" s="1" t="s">
        <v>120</v>
      </c>
      <c r="N963" s="1" t="s">
        <v>71</v>
      </c>
    </row>
    <row r="964" spans="1:14" x14ac:dyDescent="0.2">
      <c r="A964" s="67" t="s">
        <v>114</v>
      </c>
      <c r="B964" s="1" t="s">
        <v>100</v>
      </c>
      <c r="C964" s="16" t="s">
        <v>998</v>
      </c>
      <c r="D964" s="108" t="s">
        <v>101</v>
      </c>
      <c r="E964" s="110"/>
      <c r="F964" s="1"/>
      <c r="G964" s="1"/>
      <c r="H964" s="1"/>
      <c r="I964" s="1"/>
      <c r="J964" s="12" t="e">
        <f>SEARCH("selectie",D967)</f>
        <v>#VALUE!</v>
      </c>
      <c r="K964" s="1"/>
      <c r="L964" s="3"/>
      <c r="M964" s="1"/>
      <c r="N964" s="1"/>
    </row>
    <row r="965" spans="1:14" x14ac:dyDescent="0.2">
      <c r="A965" s="1"/>
      <c r="B965" s="1" t="s">
        <v>2426</v>
      </c>
      <c r="C965" s="355" t="s">
        <v>1006</v>
      </c>
      <c r="D965" s="186" t="s">
        <v>995</v>
      </c>
      <c r="E965" s="319"/>
      <c r="F965" s="1" t="str">
        <f>IF(K963=1,"JUIST","")</f>
        <v/>
      </c>
      <c r="G965" s="1" t="str">
        <f>IF(K969=1,"JUIST","")</f>
        <v/>
      </c>
      <c r="H965" s="1"/>
      <c r="I965" s="1"/>
      <c r="J965" s="5">
        <f>ABS(ISERR(J964))</f>
        <v>1</v>
      </c>
      <c r="K965" s="5">
        <f>ABS(IF(J965=0,"1","0"))</f>
        <v>0</v>
      </c>
      <c r="L965" s="3">
        <v>1</v>
      </c>
      <c r="M965" s="1" t="s">
        <v>808</v>
      </c>
      <c r="N965" s="1" t="s">
        <v>71</v>
      </c>
    </row>
    <row r="966" spans="1:14" x14ac:dyDescent="0.2">
      <c r="A966" s="1"/>
      <c r="B966" s="1" t="s">
        <v>102</v>
      </c>
      <c r="C966" s="16" t="s">
        <v>1032</v>
      </c>
      <c r="D966" s="108" t="s">
        <v>103</v>
      </c>
      <c r="E966" s="110"/>
      <c r="F966" s="1"/>
      <c r="G966" s="1"/>
      <c r="H966" s="1"/>
      <c r="I966" s="1"/>
      <c r="J966" s="5" t="e">
        <f>SEARCH("prestatie",D967)</f>
        <v>#VALUE!</v>
      </c>
      <c r="K966" s="1"/>
      <c r="L966" s="3"/>
      <c r="M966" s="1"/>
      <c r="N966" s="1"/>
    </row>
    <row r="967" spans="1:14" x14ac:dyDescent="0.2">
      <c r="A967" s="1"/>
      <c r="B967" s="1"/>
      <c r="C967" s="16" t="s">
        <v>1034</v>
      </c>
      <c r="D967" s="186" t="s">
        <v>995</v>
      </c>
      <c r="E967" s="319"/>
      <c r="F967" s="1" t="str">
        <f>IF(K967=1,"JUIST","")</f>
        <v/>
      </c>
      <c r="G967" s="1" t="str">
        <f>IF(K965=1,"JUIST","")</f>
        <v/>
      </c>
      <c r="H967" s="1"/>
      <c r="I967" s="1"/>
      <c r="J967" s="84">
        <f>ABS(ISERR(J966))</f>
        <v>1</v>
      </c>
      <c r="K967" s="5">
        <f>ABS(IF(J967=0,"1","0"))</f>
        <v>0</v>
      </c>
      <c r="L967" s="3" t="s">
        <v>995</v>
      </c>
      <c r="M967" s="1" t="s">
        <v>120</v>
      </c>
      <c r="N967" s="1" t="s">
        <v>71</v>
      </c>
    </row>
    <row r="968" spans="1:14" x14ac:dyDescent="0.2">
      <c r="A968" s="1"/>
      <c r="B968" s="1"/>
      <c r="C968" s="16" t="s">
        <v>1038</v>
      </c>
      <c r="D968" s="108" t="s">
        <v>104</v>
      </c>
      <c r="E968" s="110"/>
      <c r="F968" s="1"/>
      <c r="G968" s="1"/>
      <c r="H968" s="1"/>
      <c r="I968" s="1"/>
      <c r="J968" s="12" t="e">
        <f>SEARCH("selectie",D965)</f>
        <v>#VALUE!</v>
      </c>
      <c r="K968" s="1"/>
      <c r="L968" s="3"/>
      <c r="M968" s="1"/>
      <c r="N968" s="1"/>
    </row>
    <row r="969" spans="1:14" x14ac:dyDescent="0.2">
      <c r="A969" s="1"/>
      <c r="B969" s="1"/>
      <c r="C969" s="1"/>
      <c r="D969" s="1"/>
      <c r="E969" s="1"/>
      <c r="F969" s="1"/>
      <c r="G969" s="1"/>
      <c r="H969" s="1"/>
      <c r="I969" s="1"/>
      <c r="J969" s="5">
        <f>ABS(ISERR(J968))</f>
        <v>1</v>
      </c>
      <c r="K969" s="5">
        <f>ABS(IF(J969=0,"1","0"))</f>
        <v>0</v>
      </c>
      <c r="L969" s="3" t="s">
        <v>995</v>
      </c>
      <c r="M969" s="1" t="s">
        <v>808</v>
      </c>
      <c r="N969" s="1" t="s">
        <v>71</v>
      </c>
    </row>
    <row r="970" spans="1:14" x14ac:dyDescent="0.2">
      <c r="A970" s="1"/>
      <c r="B970" s="82" t="s">
        <v>1033</v>
      </c>
      <c r="C970" s="318" t="s">
        <v>995</v>
      </c>
      <c r="D970" s="1"/>
      <c r="E970" s="1"/>
      <c r="F970" s="1"/>
      <c r="G970" s="1"/>
      <c r="H970" s="1"/>
      <c r="I970" s="1"/>
      <c r="J970" s="1"/>
      <c r="K970" s="1"/>
      <c r="L970" s="3"/>
      <c r="M970" s="1"/>
      <c r="N970" s="1"/>
    </row>
    <row r="971" spans="1:14" x14ac:dyDescent="0.2">
      <c r="A971" s="1"/>
      <c r="B971" s="1" t="str">
        <f>IF(C970="x",J971,"")</f>
        <v/>
      </c>
      <c r="C971" s="1"/>
      <c r="D971" s="1"/>
      <c r="E971" s="1"/>
      <c r="F971" s="1"/>
      <c r="G971" s="1"/>
      <c r="H971" s="1"/>
      <c r="I971" s="1"/>
      <c r="J971" s="73" t="str">
        <f>IF(C970="x","Het juiste antwoord is: prestatie- en selectiebeoordeling","")</f>
        <v/>
      </c>
      <c r="K971" s="1"/>
      <c r="L971" s="3"/>
      <c r="M971" s="1"/>
      <c r="N971" s="1"/>
    </row>
    <row r="972" spans="1:14" x14ac:dyDescent="0.2">
      <c r="A972" s="14"/>
      <c r="B972" s="14"/>
      <c r="C972" s="14"/>
      <c r="D972" s="180"/>
      <c r="E972" s="14"/>
      <c r="F972" s="14"/>
      <c r="G972" s="14"/>
      <c r="H972" s="14"/>
      <c r="I972" s="14"/>
      <c r="J972" s="1"/>
      <c r="K972" s="1"/>
      <c r="L972" s="3"/>
      <c r="M972" s="1"/>
      <c r="N972" s="1"/>
    </row>
    <row r="973" spans="1:14" x14ac:dyDescent="0.2">
      <c r="A973" s="1"/>
      <c r="B973" s="1"/>
      <c r="C973" s="1"/>
      <c r="D973" s="1"/>
      <c r="E973" s="1"/>
      <c r="F973" s="1"/>
      <c r="G973" s="1"/>
      <c r="H973" s="1"/>
      <c r="I973" s="1"/>
      <c r="J973" s="1"/>
      <c r="K973" s="1"/>
      <c r="L973" s="3"/>
      <c r="M973" s="1"/>
      <c r="N973" s="1"/>
    </row>
    <row r="974" spans="1:14" ht="39" thickBot="1" x14ac:dyDescent="0.25">
      <c r="A974" s="533" t="s">
        <v>123</v>
      </c>
      <c r="B974" s="103" t="s">
        <v>2427</v>
      </c>
      <c r="C974" s="1"/>
      <c r="D974" s="102" t="s">
        <v>446</v>
      </c>
      <c r="E974" s="102" t="s">
        <v>1623</v>
      </c>
      <c r="F974" s="526" t="s">
        <v>2119</v>
      </c>
      <c r="G974" s="527" t="s">
        <v>2120</v>
      </c>
      <c r="H974" s="1"/>
      <c r="I974" s="1"/>
      <c r="J974" s="5" t="str">
        <f>IF(D975="x","JUIST","")</f>
        <v/>
      </c>
      <c r="K974" s="5">
        <f>ABS(IF(J974="JUIST","1","0"))</f>
        <v>0</v>
      </c>
      <c r="L974" s="3">
        <v>1</v>
      </c>
      <c r="M974" s="1"/>
      <c r="N974" s="1"/>
    </row>
    <row r="975" spans="1:14" ht="13.5" thickTop="1" x14ac:dyDescent="0.2">
      <c r="A975" s="1"/>
      <c r="B975" s="61" t="s">
        <v>2428</v>
      </c>
      <c r="C975" s="1"/>
      <c r="D975" s="425" t="s">
        <v>995</v>
      </c>
      <c r="E975" s="425" t="s">
        <v>995</v>
      </c>
      <c r="F975" s="425" t="s">
        <v>995</v>
      </c>
      <c r="G975" s="425" t="s">
        <v>995</v>
      </c>
      <c r="H975" s="1"/>
      <c r="I975" s="1"/>
      <c r="J975" s="5" t="str">
        <f>IF(E975="x","FOUT","")</f>
        <v/>
      </c>
      <c r="K975" s="5">
        <f>ABS(IF(J975="JUIST","1","0"))</f>
        <v>0</v>
      </c>
      <c r="L975" s="3"/>
      <c r="M975" s="1"/>
      <c r="N975" s="1"/>
    </row>
    <row r="976" spans="1:14" x14ac:dyDescent="0.2">
      <c r="A976" s="1"/>
      <c r="B976" s="67" t="s">
        <v>2429</v>
      </c>
      <c r="D976" s="3" t="s">
        <v>475</v>
      </c>
      <c r="E976" s="3" t="s">
        <v>476</v>
      </c>
      <c r="F976" s="3" t="s">
        <v>477</v>
      </c>
      <c r="G976" s="3" t="s">
        <v>478</v>
      </c>
      <c r="H976" s="1"/>
      <c r="I976" s="1"/>
      <c r="J976" s="5" t="str">
        <f>IF(F975="x","FOUT","")</f>
        <v/>
      </c>
      <c r="K976" s="5">
        <f>ABS(IF(J976="JUIST","1","0"))</f>
        <v>0</v>
      </c>
      <c r="L976" s="3"/>
      <c r="M976" s="1"/>
      <c r="N976" s="1"/>
    </row>
    <row r="977" spans="1:14" x14ac:dyDescent="0.2">
      <c r="A977" s="1"/>
      <c r="C977" s="1"/>
      <c r="D977" s="1"/>
      <c r="E977" s="1"/>
      <c r="F977" s="1"/>
      <c r="G977" s="1"/>
      <c r="H977" s="1"/>
      <c r="I977" s="1"/>
      <c r="J977" s="5" t="str">
        <f>IF(G975="x","FOUT","")</f>
        <v/>
      </c>
      <c r="K977" s="5">
        <f>ABS(IF(J977="JUIST","1","0"))</f>
        <v>0</v>
      </c>
      <c r="L977" s="3" t="s">
        <v>995</v>
      </c>
      <c r="M977" s="1"/>
      <c r="N977" s="1"/>
    </row>
    <row r="978" spans="1:14" x14ac:dyDescent="0.2">
      <c r="A978" s="1"/>
      <c r="B978" s="82" t="s">
        <v>1033</v>
      </c>
      <c r="C978" s="318" t="s">
        <v>995</v>
      </c>
      <c r="D978" s="1"/>
      <c r="E978" s="1"/>
      <c r="F978" s="1"/>
      <c r="G978" s="1"/>
      <c r="H978" s="1"/>
      <c r="I978" s="1"/>
      <c r="K978" s="1"/>
      <c r="L978" s="3"/>
      <c r="M978" s="1"/>
      <c r="N978" s="1"/>
    </row>
    <row r="979" spans="1:14" x14ac:dyDescent="0.2">
      <c r="A979" s="1"/>
      <c r="B979" s="3" t="str">
        <f>IF(C978="x",J979,"")</f>
        <v/>
      </c>
      <c r="C979" s="1"/>
      <c r="D979" s="3"/>
      <c r="E979" s="3"/>
      <c r="F979" s="3"/>
      <c r="G979" s="1"/>
      <c r="H979" s="1"/>
      <c r="I979" s="1"/>
      <c r="J979" s="73" t="str">
        <f>IF(C978="x","Het juiste antwoord is:  A.","")</f>
        <v/>
      </c>
      <c r="K979" s="1"/>
      <c r="L979" s="3"/>
      <c r="M979" s="1"/>
      <c r="N979" s="1"/>
    </row>
    <row r="980" spans="1:14" x14ac:dyDescent="0.2">
      <c r="A980" s="14"/>
      <c r="B980" s="14"/>
      <c r="C980" s="14"/>
      <c r="D980" s="180"/>
      <c r="E980" s="14"/>
      <c r="F980" s="14"/>
      <c r="G980" s="14"/>
      <c r="H980" s="14"/>
      <c r="I980" s="14"/>
      <c r="J980" s="1"/>
      <c r="K980" s="1"/>
      <c r="L980" s="3"/>
      <c r="M980" s="1"/>
      <c r="N980" s="1"/>
    </row>
    <row r="981" spans="1:14" x14ac:dyDescent="0.2">
      <c r="A981" s="1"/>
      <c r="B981" s="1"/>
      <c r="C981" s="1"/>
      <c r="D981" s="1"/>
      <c r="E981" s="1"/>
      <c r="F981" s="1"/>
      <c r="G981" s="1"/>
      <c r="H981" s="1"/>
      <c r="I981" s="1"/>
      <c r="J981" s="5" t="str">
        <f>IF(E984="x","JUIST","")</f>
        <v/>
      </c>
      <c r="K981" s="1"/>
      <c r="L981" s="3"/>
      <c r="M981" s="1"/>
      <c r="N981" s="1"/>
    </row>
    <row r="982" spans="1:14" x14ac:dyDescent="0.2">
      <c r="A982" s="1"/>
      <c r="B982" s="61" t="s">
        <v>1814</v>
      </c>
      <c r="C982" s="1"/>
      <c r="D982" s="1"/>
      <c r="E982" s="1"/>
      <c r="F982" s="1"/>
      <c r="G982" s="1"/>
      <c r="H982" s="1"/>
      <c r="I982" s="1"/>
      <c r="J982" s="1"/>
      <c r="K982" s="6">
        <f>IF(E984="x",1,0)</f>
        <v>0</v>
      </c>
      <c r="L982" s="3">
        <v>1</v>
      </c>
      <c r="M982" s="1"/>
      <c r="N982" s="1"/>
    </row>
    <row r="983" spans="1:14" x14ac:dyDescent="0.2">
      <c r="A983" s="67" t="s">
        <v>132</v>
      </c>
      <c r="B983" s="547" t="s">
        <v>2430</v>
      </c>
      <c r="C983" s="1"/>
      <c r="D983" s="5" t="s">
        <v>1817</v>
      </c>
      <c r="E983" s="5" t="s">
        <v>1818</v>
      </c>
      <c r="F983" s="1"/>
      <c r="G983" s="1"/>
      <c r="H983" s="1"/>
      <c r="I983" s="1"/>
      <c r="J983" s="1"/>
      <c r="K983" s="1"/>
      <c r="L983" s="3"/>
      <c r="M983" s="1"/>
      <c r="N983" s="1"/>
    </row>
    <row r="984" spans="1:14" x14ac:dyDescent="0.2">
      <c r="A984" s="1"/>
      <c r="B984" s="1" t="s">
        <v>1816</v>
      </c>
      <c r="C984" s="1"/>
      <c r="D984" s="318" t="s">
        <v>995</v>
      </c>
      <c r="E984" s="318" t="s">
        <v>995</v>
      </c>
      <c r="F984" s="1"/>
      <c r="G984" s="1"/>
      <c r="H984" s="1"/>
      <c r="I984" s="1"/>
      <c r="J984" s="73" t="str">
        <f>IF(D984="x","Meestal wel, maar niet altijd!","")</f>
        <v/>
      </c>
      <c r="K984" s="1"/>
      <c r="L984" s="3"/>
      <c r="M984" s="1"/>
      <c r="N984" s="1"/>
    </row>
    <row r="985" spans="1:14" x14ac:dyDescent="0.2">
      <c r="A985" s="1"/>
      <c r="B985" s="1" t="s">
        <v>995</v>
      </c>
      <c r="C985" s="1"/>
      <c r="D985" s="1"/>
      <c r="E985" s="1"/>
      <c r="F985" s="1"/>
      <c r="I985" s="1"/>
      <c r="J985" s="1"/>
      <c r="K985" s="1"/>
      <c r="L985" s="3"/>
      <c r="M985" s="1"/>
      <c r="N985" s="1"/>
    </row>
    <row r="986" spans="1:14" x14ac:dyDescent="0.2">
      <c r="A986" s="1"/>
      <c r="B986" s="3" t="str">
        <f>IF(D984="x",J984,"")</f>
        <v/>
      </c>
      <c r="C986" s="1"/>
      <c r="D986" s="1"/>
      <c r="E986" s="1"/>
      <c r="F986" s="1"/>
      <c r="G986" s="1"/>
      <c r="H986" s="1"/>
      <c r="I986" s="1"/>
      <c r="J986" s="1"/>
      <c r="K986" s="1"/>
      <c r="L986" s="3"/>
      <c r="M986" s="1"/>
      <c r="N986" s="1"/>
    </row>
    <row r="987" spans="1:14" x14ac:dyDescent="0.2">
      <c r="A987" s="14"/>
      <c r="B987" s="14"/>
      <c r="C987" s="14"/>
      <c r="D987" s="180"/>
      <c r="E987" s="14"/>
      <c r="F987" s="14"/>
      <c r="G987" s="14"/>
      <c r="H987" s="14"/>
      <c r="I987" s="14"/>
      <c r="J987" s="1"/>
      <c r="K987" s="1"/>
      <c r="L987" s="3"/>
      <c r="M987" s="1"/>
      <c r="N987" s="1"/>
    </row>
    <row r="988" spans="1:14" x14ac:dyDescent="0.2">
      <c r="A988" s="1"/>
      <c r="B988" s="1"/>
      <c r="C988" s="1"/>
      <c r="D988" s="1"/>
      <c r="E988" s="1"/>
      <c r="F988" s="1"/>
      <c r="G988" s="1"/>
      <c r="H988" s="1"/>
      <c r="I988" s="1"/>
      <c r="J988" s="5" t="e">
        <f>SEARCH("validiteit",E989)</f>
        <v>#VALUE!</v>
      </c>
      <c r="K988" s="1"/>
      <c r="L988" s="3"/>
      <c r="M988" s="1"/>
      <c r="N988" s="1"/>
    </row>
    <row r="989" spans="1:14" x14ac:dyDescent="0.2">
      <c r="A989" s="67" t="s">
        <v>137</v>
      </c>
      <c r="B989" s="67" t="s">
        <v>108</v>
      </c>
      <c r="C989" s="1"/>
      <c r="D989" s="16" t="s">
        <v>998</v>
      </c>
      <c r="E989" s="7" t="s">
        <v>995</v>
      </c>
      <c r="F989" s="3" t="str">
        <f>IF(C993="x",J991,"")</f>
        <v/>
      </c>
      <c r="G989" s="1"/>
      <c r="H989" s="1"/>
      <c r="I989" s="1"/>
      <c r="J989" s="84">
        <f>ABS(ISERR(J988))</f>
        <v>1</v>
      </c>
      <c r="K989" s="5">
        <f>ABS(IF(J989=0,"1","0"))</f>
        <v>0</v>
      </c>
      <c r="L989" s="3">
        <v>1</v>
      </c>
      <c r="M989" s="1" t="s">
        <v>112</v>
      </c>
      <c r="N989" s="1"/>
    </row>
    <row r="990" spans="1:14" x14ac:dyDescent="0.2">
      <c r="A990" s="1"/>
      <c r="B990" s="1" t="s">
        <v>109</v>
      </c>
      <c r="C990" s="1"/>
      <c r="D990" s="16" t="s">
        <v>1006</v>
      </c>
      <c r="E990" s="235" t="s">
        <v>110</v>
      </c>
      <c r="F990" s="1"/>
      <c r="G990" s="1"/>
      <c r="H990" s="1"/>
      <c r="I990" s="1"/>
      <c r="J990" s="1"/>
      <c r="K990" s="1"/>
      <c r="L990" s="3"/>
      <c r="M990" s="1"/>
      <c r="N990" s="1"/>
    </row>
    <row r="991" spans="1:14" x14ac:dyDescent="0.2">
      <c r="A991" s="1"/>
      <c r="B991" s="1" t="s">
        <v>2431</v>
      </c>
      <c r="C991" s="1"/>
      <c r="D991" s="16" t="s">
        <v>1032</v>
      </c>
      <c r="E991" s="6" t="s">
        <v>111</v>
      </c>
      <c r="F991" s="1"/>
      <c r="G991" s="1"/>
      <c r="H991" s="1"/>
      <c r="I991" s="1"/>
      <c r="J991" s="73" t="str">
        <f>IF(C993="x","Validiteit!","")</f>
        <v/>
      </c>
      <c r="K991" s="1"/>
      <c r="L991" s="3"/>
      <c r="M991" s="1"/>
      <c r="N991" s="1"/>
    </row>
    <row r="992" spans="1:14" x14ac:dyDescent="0.2">
      <c r="A992" s="1"/>
      <c r="B992" s="1"/>
      <c r="C992" s="1"/>
      <c r="D992" s="1"/>
      <c r="E992" s="1"/>
      <c r="F992" s="1"/>
      <c r="G992" s="1"/>
      <c r="H992" s="1"/>
      <c r="I992" s="1"/>
      <c r="J992" s="1"/>
      <c r="K992" s="1"/>
      <c r="L992" s="3"/>
      <c r="M992" s="1"/>
      <c r="N992" s="1"/>
    </row>
    <row r="993" spans="1:14" x14ac:dyDescent="0.2">
      <c r="A993" s="1"/>
      <c r="B993" s="82" t="s">
        <v>1033</v>
      </c>
      <c r="C993" s="318" t="s">
        <v>995</v>
      </c>
      <c r="D993" s="3"/>
      <c r="E993" s="3"/>
      <c r="F993" s="3"/>
      <c r="G993" s="1"/>
      <c r="H993" s="1"/>
      <c r="I993" s="1"/>
      <c r="K993" s="1"/>
      <c r="L993" s="3"/>
      <c r="M993" s="1"/>
      <c r="N993" s="1"/>
    </row>
    <row r="994" spans="1:14" x14ac:dyDescent="0.2">
      <c r="A994" s="1"/>
      <c r="B994" s="1" t="s">
        <v>995</v>
      </c>
      <c r="C994" s="1"/>
      <c r="D994" s="1"/>
      <c r="E994" s="1"/>
      <c r="G994" s="1"/>
      <c r="H994" s="1"/>
      <c r="I994" s="1"/>
      <c r="J994" s="1"/>
      <c r="K994" s="1"/>
      <c r="L994" s="3"/>
      <c r="M994" s="1"/>
      <c r="N994" s="1"/>
    </row>
    <row r="995" spans="1:14" x14ac:dyDescent="0.2">
      <c r="A995" s="14"/>
      <c r="B995" s="14"/>
      <c r="C995" s="14"/>
      <c r="D995" s="180"/>
      <c r="E995" s="14"/>
      <c r="F995" s="14"/>
      <c r="G995" s="14"/>
      <c r="H995" s="14"/>
      <c r="I995" s="14"/>
      <c r="J995" s="1"/>
      <c r="K995" s="1"/>
      <c r="L995" s="3"/>
      <c r="M995" s="1"/>
      <c r="N995" s="1"/>
    </row>
    <row r="996" spans="1:14" x14ac:dyDescent="0.2">
      <c r="A996" s="1"/>
      <c r="B996" s="1"/>
      <c r="C996" s="1"/>
      <c r="D996" s="1"/>
      <c r="E996" s="1"/>
      <c r="F996" s="1"/>
      <c r="G996" s="1"/>
      <c r="H996" s="1"/>
      <c r="I996" s="1"/>
      <c r="J996" s="1"/>
      <c r="K996" s="1"/>
      <c r="L996" s="3"/>
      <c r="M996" s="1"/>
      <c r="N996" s="1"/>
    </row>
    <row r="997" spans="1:14" ht="26.25" thickBot="1" x14ac:dyDescent="0.25">
      <c r="A997" s="533" t="s">
        <v>155</v>
      </c>
      <c r="B997" s="103" t="s">
        <v>2432</v>
      </c>
      <c r="C997" s="1"/>
      <c r="D997" s="102" t="s">
        <v>446</v>
      </c>
      <c r="E997" s="102" t="s">
        <v>1623</v>
      </c>
      <c r="F997" s="526" t="s">
        <v>2119</v>
      </c>
      <c r="G997" s="527" t="s">
        <v>2120</v>
      </c>
      <c r="H997" s="1"/>
      <c r="I997" s="1"/>
      <c r="J997" s="5" t="str">
        <f>IF(D998="x","FOUT","")</f>
        <v/>
      </c>
      <c r="K997" s="5">
        <f>ABS(IF(J997="JUIST","1","0"))</f>
        <v>0</v>
      </c>
      <c r="L997" s="3" t="s">
        <v>995</v>
      </c>
      <c r="M997" s="1"/>
      <c r="N997" s="1"/>
    </row>
    <row r="998" spans="1:14" ht="13.5" thickTop="1" x14ac:dyDescent="0.2">
      <c r="A998" s="1"/>
      <c r="B998" s="61" t="s">
        <v>2433</v>
      </c>
      <c r="C998" s="1"/>
      <c r="D998" s="425" t="s">
        <v>995</v>
      </c>
      <c r="E998" s="425" t="s">
        <v>995</v>
      </c>
      <c r="F998" s="425" t="s">
        <v>995</v>
      </c>
      <c r="G998" s="425" t="s">
        <v>995</v>
      </c>
      <c r="H998" s="1"/>
      <c r="I998" s="1"/>
      <c r="J998" s="5" t="str">
        <f>IF(E998="x","FOUT","")</f>
        <v/>
      </c>
      <c r="K998" s="5">
        <f>ABS(IF(J998="JUIST","1","0"))</f>
        <v>0</v>
      </c>
      <c r="L998" s="3"/>
      <c r="M998" s="1"/>
      <c r="N998" s="1"/>
    </row>
    <row r="999" spans="1:14" x14ac:dyDescent="0.2">
      <c r="A999" s="1"/>
      <c r="B999" s="67" t="s">
        <v>2434</v>
      </c>
      <c r="D999" s="3" t="s">
        <v>475</v>
      </c>
      <c r="E999" s="3" t="s">
        <v>476</v>
      </c>
      <c r="F999" s="3" t="s">
        <v>477</v>
      </c>
      <c r="G999" s="3" t="s">
        <v>478</v>
      </c>
      <c r="H999" s="1"/>
      <c r="I999" s="1"/>
      <c r="J999" s="5" t="str">
        <f>IF(F998="x","JUIST","")</f>
        <v/>
      </c>
      <c r="K999" s="5">
        <f>ABS(IF(J999="JUIST","1","0"))</f>
        <v>0</v>
      </c>
      <c r="L999" s="3">
        <v>1</v>
      </c>
      <c r="M999" s="1"/>
      <c r="N999" s="1"/>
    </row>
    <row r="1000" spans="1:14" x14ac:dyDescent="0.2">
      <c r="A1000" s="1"/>
      <c r="C1000" s="1"/>
      <c r="D1000" s="1"/>
      <c r="E1000" s="1"/>
      <c r="F1000" s="1"/>
      <c r="G1000" s="1"/>
      <c r="H1000" s="1"/>
      <c r="I1000" s="1"/>
      <c r="J1000" s="5" t="str">
        <f>IF(G998="x","FOUT","")</f>
        <v/>
      </c>
      <c r="K1000" s="5">
        <f>ABS(IF(J1000="JUIST","1","0"))</f>
        <v>0</v>
      </c>
      <c r="L1000" s="3" t="s">
        <v>995</v>
      </c>
      <c r="M1000" s="1"/>
      <c r="N1000" s="1"/>
    </row>
    <row r="1001" spans="1:14" x14ac:dyDescent="0.2">
      <c r="A1001" s="1"/>
      <c r="B1001" s="82" t="s">
        <v>1033</v>
      </c>
      <c r="C1001" s="318" t="s">
        <v>995</v>
      </c>
      <c r="D1001" s="3"/>
      <c r="E1001" s="3"/>
      <c r="F1001" s="3"/>
      <c r="G1001" s="1"/>
      <c r="H1001" s="1"/>
      <c r="I1001" s="1"/>
      <c r="J1001" s="73" t="str">
        <f>IF(C1001="x","Het juiste antwoord is:  C.","")</f>
        <v/>
      </c>
      <c r="K1001" s="1"/>
      <c r="L1001" s="3"/>
      <c r="M1001" s="1"/>
      <c r="N1001" s="1"/>
    </row>
    <row r="1002" spans="1:14" x14ac:dyDescent="0.2">
      <c r="A1002" s="1"/>
      <c r="B1002" s="3" t="str">
        <f>IF(C1001="x",J1001,"")</f>
        <v/>
      </c>
      <c r="C1002" s="1"/>
      <c r="D1002" s="1"/>
      <c r="E1002" s="1"/>
      <c r="G1002" s="1"/>
      <c r="H1002" s="1"/>
      <c r="I1002" s="1"/>
      <c r="K1002" s="1"/>
      <c r="M1002" s="1"/>
      <c r="N1002" s="1"/>
    </row>
    <row r="1003" spans="1:14" x14ac:dyDescent="0.2">
      <c r="A1003" s="14"/>
      <c r="B1003" s="14"/>
      <c r="C1003" s="14"/>
      <c r="D1003" s="180"/>
      <c r="E1003" s="14"/>
      <c r="F1003" s="14"/>
      <c r="G1003" s="14"/>
      <c r="H1003" s="14"/>
      <c r="I1003" s="14"/>
      <c r="J1003" s="1"/>
      <c r="K1003" s="1"/>
      <c r="L1003" s="3"/>
      <c r="M1003" s="1"/>
      <c r="N1003" s="1"/>
    </row>
    <row r="1004" spans="1:14" x14ac:dyDescent="0.2">
      <c r="A1004" s="1"/>
      <c r="B1004" s="1"/>
      <c r="C1004" s="1"/>
      <c r="D1004" s="1"/>
      <c r="E1004" s="1"/>
      <c r="F1004" s="1"/>
      <c r="G1004" s="1"/>
      <c r="H1004" s="1"/>
      <c r="I1004" s="1"/>
      <c r="J1004" s="5" t="e">
        <f>SEARCH("problem sol",E1008)</f>
        <v>#VALUE!</v>
      </c>
      <c r="K1004" s="1"/>
      <c r="L1004" s="3"/>
      <c r="M1004" s="1"/>
      <c r="N1004" s="1"/>
    </row>
    <row r="1005" spans="1:14" x14ac:dyDescent="0.2">
      <c r="A1005" s="67" t="s">
        <v>156</v>
      </c>
      <c r="B1005" s="1" t="s">
        <v>115</v>
      </c>
      <c r="C1005" s="1"/>
      <c r="D1005" s="16" t="s">
        <v>998</v>
      </c>
      <c r="E1005" s="108" t="s">
        <v>116</v>
      </c>
      <c r="F1005" s="110"/>
      <c r="G1005" s="1"/>
      <c r="H1005" s="1"/>
      <c r="I1005" s="1"/>
      <c r="J1005" s="84">
        <f>ABS(ISERR(J1004))</f>
        <v>1</v>
      </c>
      <c r="K1005" s="5">
        <f>ABS(IF(J1005=0,"1","0"))</f>
        <v>0</v>
      </c>
      <c r="L1005" s="3">
        <v>1</v>
      </c>
      <c r="M1005" s="1" t="s">
        <v>119</v>
      </c>
      <c r="N1005" s="1"/>
    </row>
    <row r="1006" spans="1:14" x14ac:dyDescent="0.2">
      <c r="A1006" s="1"/>
      <c r="B1006" s="1" t="s">
        <v>2435</v>
      </c>
      <c r="C1006" s="1"/>
      <c r="D1006" s="16" t="s">
        <v>1006</v>
      </c>
      <c r="E1006" s="108" t="s">
        <v>117</v>
      </c>
      <c r="F1006" s="110"/>
      <c r="G1006" s="1"/>
      <c r="H1006" s="1"/>
      <c r="I1006" s="1"/>
      <c r="J1006" s="1"/>
      <c r="K1006" s="1"/>
      <c r="L1006" s="3"/>
      <c r="M1006" s="1"/>
      <c r="N1006" s="1"/>
    </row>
    <row r="1007" spans="1:14" x14ac:dyDescent="0.2">
      <c r="A1007" s="1"/>
      <c r="B1007" s="1" t="s">
        <v>136</v>
      </c>
      <c r="C1007" s="1"/>
      <c r="D1007" s="16" t="s">
        <v>1032</v>
      </c>
      <c r="E1007" s="108" t="s">
        <v>118</v>
      </c>
      <c r="F1007" s="110"/>
      <c r="G1007" s="1"/>
      <c r="H1007" s="1"/>
      <c r="I1007" s="1"/>
      <c r="J1007" s="1"/>
      <c r="K1007" s="1"/>
      <c r="L1007" s="3"/>
      <c r="M1007" s="1"/>
      <c r="N1007" s="1"/>
    </row>
    <row r="1008" spans="1:14" x14ac:dyDescent="0.2">
      <c r="A1008" s="1"/>
      <c r="B1008" s="1"/>
      <c r="C1008" s="1"/>
      <c r="D1008" s="16" t="s">
        <v>1034</v>
      </c>
      <c r="E1008" s="186" t="s">
        <v>995</v>
      </c>
      <c r="F1008" s="319"/>
      <c r="G1008" s="3" t="str">
        <f>IF(C1010="x",M1005,"")</f>
        <v/>
      </c>
      <c r="H1008" s="1"/>
      <c r="I1008" s="1"/>
      <c r="J1008" s="1"/>
      <c r="K1008" s="1"/>
      <c r="L1008" s="3"/>
      <c r="M1008" s="1"/>
      <c r="N1008" s="1"/>
    </row>
    <row r="1009" spans="1:14" x14ac:dyDescent="0.2">
      <c r="A1009" s="1"/>
      <c r="B1009" s="1"/>
      <c r="C1009" s="1"/>
      <c r="D1009" s="16" t="s">
        <v>1038</v>
      </c>
      <c r="E1009" s="108" t="s">
        <v>135</v>
      </c>
      <c r="F1009" s="110"/>
      <c r="G1009" s="3"/>
      <c r="H1009" s="1"/>
      <c r="I1009" s="1"/>
      <c r="J1009" s="1"/>
      <c r="K1009" s="1"/>
      <c r="L1009" s="3"/>
      <c r="M1009" s="1"/>
      <c r="N1009" s="1"/>
    </row>
    <row r="1010" spans="1:14" x14ac:dyDescent="0.2">
      <c r="A1010" s="1"/>
      <c r="B1010" s="82" t="s">
        <v>1033</v>
      </c>
      <c r="C1010" s="318" t="s">
        <v>995</v>
      </c>
      <c r="D1010" s="3"/>
      <c r="E1010" s="3"/>
      <c r="F1010" s="3"/>
      <c r="G1010" s="1"/>
      <c r="H1010" s="1"/>
      <c r="I1010" s="1"/>
      <c r="J1010" s="120" t="s">
        <v>995</v>
      </c>
      <c r="K1010" s="1"/>
      <c r="L1010" s="3"/>
      <c r="M1010" s="1"/>
      <c r="N1010" s="1"/>
    </row>
    <row r="1011" spans="1:14" x14ac:dyDescent="0.2">
      <c r="A1011" s="1"/>
      <c r="B1011" s="3" t="s">
        <v>995</v>
      </c>
      <c r="C1011" s="1"/>
      <c r="D1011" s="1"/>
      <c r="E1011" s="1"/>
      <c r="G1011" s="1"/>
      <c r="H1011" s="1"/>
      <c r="I1011" s="1"/>
      <c r="K1011" s="1"/>
      <c r="L1011" s="3"/>
      <c r="M1011" s="1"/>
      <c r="N1011" s="1"/>
    </row>
    <row r="1012" spans="1:14" x14ac:dyDescent="0.2">
      <c r="A1012" s="14"/>
      <c r="B1012" s="14"/>
      <c r="C1012" s="14"/>
      <c r="D1012" s="180"/>
      <c r="E1012" s="14"/>
      <c r="F1012" s="14"/>
      <c r="G1012" s="14"/>
      <c r="H1012" s="14"/>
      <c r="I1012" s="14"/>
      <c r="J1012" s="1"/>
      <c r="K1012" s="1"/>
      <c r="L1012" s="3"/>
      <c r="M1012" s="1"/>
      <c r="N1012" s="1"/>
    </row>
    <row r="1013" spans="1:14" x14ac:dyDescent="0.2">
      <c r="A1013" s="1"/>
      <c r="B1013" s="1"/>
      <c r="C1013" s="1"/>
      <c r="D1013" s="1"/>
      <c r="E1013" s="1"/>
      <c r="F1013" s="1"/>
      <c r="G1013" s="1"/>
      <c r="H1013" s="1"/>
      <c r="I1013" s="1"/>
      <c r="J1013" s="5" t="str">
        <f>IF(D1016="x","JUIST","")</f>
        <v/>
      </c>
      <c r="K1013" s="5">
        <f>ABS(IF(J1013="JUIST","1","0"))</f>
        <v>0</v>
      </c>
      <c r="L1013" s="3">
        <v>1</v>
      </c>
      <c r="M1013" s="1"/>
      <c r="N1013" s="1"/>
    </row>
    <row r="1014" spans="1:14" x14ac:dyDescent="0.2">
      <c r="A1014" s="67" t="s">
        <v>157</v>
      </c>
      <c r="B1014" s="67" t="s">
        <v>2703</v>
      </c>
      <c r="C1014" s="1"/>
      <c r="D1014" s="12" t="s">
        <v>116</v>
      </c>
      <c r="E1014" s="12" t="s">
        <v>117</v>
      </c>
      <c r="F1014" s="12" t="s">
        <v>121</v>
      </c>
      <c r="G1014" s="12" t="s">
        <v>133</v>
      </c>
      <c r="H1014" s="1"/>
      <c r="I1014" s="1"/>
      <c r="J1014" s="5" t="str">
        <f>IF(E1016="x","FOUT","")</f>
        <v/>
      </c>
      <c r="K1014" s="5">
        <f>ABS(IF(J1014="JUIST","1","0"))</f>
        <v>0</v>
      </c>
      <c r="L1014" s="3"/>
      <c r="M1014" s="1"/>
      <c r="N1014" s="1"/>
    </row>
    <row r="1015" spans="1:14" ht="13.5" thickBot="1" x14ac:dyDescent="0.25">
      <c r="A1015" s="1"/>
      <c r="B1015" s="67" t="s">
        <v>2704</v>
      </c>
      <c r="C1015" s="1"/>
      <c r="D1015" s="28"/>
      <c r="E1015" s="28"/>
      <c r="F1015" s="84" t="s">
        <v>122</v>
      </c>
      <c r="G1015" s="84" t="s">
        <v>134</v>
      </c>
      <c r="H1015" s="1"/>
      <c r="I1015" s="1"/>
      <c r="J1015" s="5" t="str">
        <f>IF(F1016="x","FOUT","")</f>
        <v/>
      </c>
      <c r="K1015" s="5">
        <f>ABS(IF(J1015="JUIST","1","0"))</f>
        <v>0</v>
      </c>
      <c r="L1015" s="3"/>
      <c r="M1015" s="1"/>
      <c r="N1015" s="1"/>
    </row>
    <row r="1016" spans="1:14" ht="13.5" thickTop="1" x14ac:dyDescent="0.2">
      <c r="A1016" s="1"/>
      <c r="B1016" s="67" t="s">
        <v>2720</v>
      </c>
      <c r="C1016" s="1"/>
      <c r="D1016" s="425" t="s">
        <v>995</v>
      </c>
      <c r="E1016" s="425" t="s">
        <v>995</v>
      </c>
      <c r="F1016" s="425" t="s">
        <v>995</v>
      </c>
      <c r="G1016" s="425" t="s">
        <v>995</v>
      </c>
      <c r="H1016" s="1"/>
      <c r="I1016" s="1"/>
      <c r="J1016" s="5" t="str">
        <f>IF(G1016="x","FOUT","")</f>
        <v/>
      </c>
      <c r="K1016" s="5">
        <f>ABS(IF(J1016="JUIST","1","0"))</f>
        <v>0</v>
      </c>
      <c r="L1016" s="3"/>
      <c r="M1016" s="1"/>
      <c r="N1016" s="1"/>
    </row>
    <row r="1017" spans="1:14" x14ac:dyDescent="0.2">
      <c r="A1017" s="1"/>
      <c r="B1017" s="1"/>
      <c r="C1017" s="1"/>
      <c r="D1017" s="198" t="s">
        <v>475</v>
      </c>
      <c r="E1017" s="198" t="s">
        <v>476</v>
      </c>
      <c r="F1017" s="198" t="s">
        <v>477</v>
      </c>
      <c r="G1017" s="3" t="s">
        <v>478</v>
      </c>
      <c r="H1017" s="1"/>
      <c r="I1017" s="1"/>
      <c r="J1017" s="1"/>
      <c r="K1017" s="1"/>
      <c r="L1017" s="3"/>
      <c r="M1017" s="1"/>
      <c r="N1017" s="1"/>
    </row>
    <row r="1018" spans="1:14" x14ac:dyDescent="0.2">
      <c r="A1018" s="1"/>
      <c r="B1018" s="1"/>
      <c r="C1018" s="1"/>
      <c r="D1018" s="1"/>
      <c r="E1018" s="1"/>
      <c r="F1018" s="1"/>
      <c r="G1018" s="1"/>
      <c r="H1018" s="1"/>
      <c r="I1018" s="1"/>
      <c r="J1018" s="1"/>
      <c r="K1018" s="1"/>
      <c r="L1018" s="3"/>
      <c r="M1018" s="1"/>
      <c r="N1018" s="1"/>
    </row>
    <row r="1019" spans="1:14" x14ac:dyDescent="0.2">
      <c r="A1019" s="1"/>
      <c r="B1019" s="82" t="s">
        <v>1033</v>
      </c>
      <c r="C1019" s="318" t="s">
        <v>995</v>
      </c>
      <c r="D1019" s="1"/>
      <c r="E1019" s="1"/>
      <c r="F1019" s="1"/>
      <c r="G1019" s="1"/>
      <c r="H1019" s="1"/>
      <c r="I1019" s="1"/>
      <c r="J1019" s="73" t="str">
        <f>IF(C1019="x","Het juiste antwoord is:  A.","")</f>
        <v/>
      </c>
      <c r="K1019" s="1"/>
      <c r="L1019" s="3"/>
      <c r="M1019" s="1"/>
      <c r="N1019" s="1"/>
    </row>
    <row r="1020" spans="1:14" x14ac:dyDescent="0.2">
      <c r="A1020" s="1"/>
      <c r="B1020" s="3" t="str">
        <f>IF(C1019="x",J1019,"")</f>
        <v/>
      </c>
      <c r="C1020" s="1"/>
      <c r="D1020" s="1"/>
      <c r="E1020" s="1"/>
      <c r="F1020" s="1"/>
      <c r="G1020" s="1"/>
      <c r="H1020" s="1"/>
      <c r="I1020" s="1"/>
      <c r="J1020" s="1"/>
      <c r="K1020" s="1"/>
      <c r="L1020" s="3"/>
      <c r="M1020" s="1"/>
      <c r="N1020" s="1"/>
    </row>
    <row r="1021" spans="1:14" x14ac:dyDescent="0.2">
      <c r="A1021" s="14"/>
      <c r="B1021" s="14"/>
      <c r="C1021" s="14"/>
      <c r="D1021" s="180"/>
      <c r="E1021" s="14"/>
      <c r="F1021" s="14"/>
      <c r="G1021" s="14"/>
      <c r="H1021" s="14"/>
      <c r="I1021" s="14"/>
      <c r="J1021" s="1"/>
      <c r="K1021" s="1"/>
      <c r="L1021" s="3"/>
      <c r="M1021" s="1"/>
      <c r="N1021" s="1"/>
    </row>
    <row r="1022" spans="1:14" x14ac:dyDescent="0.2">
      <c r="A1022" s="1"/>
      <c r="B1022" s="1"/>
      <c r="C1022" s="1"/>
      <c r="D1022" s="1"/>
      <c r="E1022" s="1"/>
      <c r="F1022" s="1"/>
      <c r="G1022" s="1"/>
      <c r="H1022" s="1"/>
      <c r="I1022" s="1"/>
      <c r="J1022" s="5" t="e">
        <f>SEARCH("criteria",D1024)</f>
        <v>#VALUE!</v>
      </c>
      <c r="K1022" s="1"/>
      <c r="L1022" s="3"/>
      <c r="M1022" s="1"/>
      <c r="N1022" s="1"/>
    </row>
    <row r="1023" spans="1:14" x14ac:dyDescent="0.2">
      <c r="A1023" s="67" t="s">
        <v>876</v>
      </c>
      <c r="B1023" s="67" t="s">
        <v>124</v>
      </c>
      <c r="C1023" s="1"/>
      <c r="D1023" s="108" t="s">
        <v>130</v>
      </c>
      <c r="E1023" s="109"/>
      <c r="F1023" s="109"/>
      <c r="G1023" s="110"/>
      <c r="H1023" s="1"/>
      <c r="I1023" s="1"/>
      <c r="J1023" s="84">
        <f>ABS(ISERR(J1022))</f>
        <v>1</v>
      </c>
      <c r="K1023" s="5">
        <f>ABS(IF(J1023=0,"1","0"))</f>
        <v>0</v>
      </c>
      <c r="L1023" s="3">
        <v>1</v>
      </c>
      <c r="M1023" s="1" t="s">
        <v>131</v>
      </c>
      <c r="N1023" s="1"/>
    </row>
    <row r="1024" spans="1:14" x14ac:dyDescent="0.2">
      <c r="A1024" s="1"/>
      <c r="B1024" s="1" t="s">
        <v>125</v>
      </c>
      <c r="C1024" s="1"/>
      <c r="D1024" s="186" t="s">
        <v>995</v>
      </c>
      <c r="E1024" s="356"/>
      <c r="F1024" s="356"/>
      <c r="G1024" s="319"/>
      <c r="H1024" s="1"/>
      <c r="I1024" s="1"/>
      <c r="J1024" s="1"/>
      <c r="K1024" s="1"/>
      <c r="L1024" s="3"/>
      <c r="M1024" s="1"/>
      <c r="N1024" s="1"/>
    </row>
    <row r="1025" spans="1:14" x14ac:dyDescent="0.2">
      <c r="A1025" s="1"/>
      <c r="B1025" s="1" t="s">
        <v>126</v>
      </c>
      <c r="C1025" s="1"/>
      <c r="D1025" s="1"/>
      <c r="E1025" s="1"/>
      <c r="F1025" s="1"/>
      <c r="G1025" s="1"/>
      <c r="H1025" s="1"/>
      <c r="I1025" s="1"/>
      <c r="J1025" s="1"/>
      <c r="K1025" s="1"/>
      <c r="L1025" s="3"/>
      <c r="M1025" s="1"/>
      <c r="N1025" s="1"/>
    </row>
    <row r="1026" spans="1:14" x14ac:dyDescent="0.2">
      <c r="A1026" s="1"/>
      <c r="B1026" s="1" t="s">
        <v>127</v>
      </c>
      <c r="C1026" s="1"/>
      <c r="D1026" s="3" t="str">
        <f>IF(K1023=1,"JUIST","")</f>
        <v/>
      </c>
      <c r="E1026" s="3" t="s">
        <v>995</v>
      </c>
      <c r="F1026" s="1"/>
      <c r="G1026" s="1"/>
      <c r="H1026" s="1"/>
      <c r="I1026" s="1"/>
      <c r="J1026" s="1"/>
      <c r="K1026" s="1"/>
      <c r="L1026" s="3"/>
      <c r="M1026" s="1"/>
      <c r="N1026" s="1"/>
    </row>
    <row r="1027" spans="1:14" x14ac:dyDescent="0.2">
      <c r="A1027" s="1"/>
      <c r="B1027" s="1" t="s">
        <v>128</v>
      </c>
      <c r="C1027" s="1"/>
      <c r="D1027" s="1"/>
      <c r="E1027" s="1"/>
      <c r="F1027" s="1"/>
      <c r="G1027" s="1"/>
      <c r="H1027" s="1"/>
      <c r="I1027" s="1"/>
      <c r="J1027" s="1"/>
      <c r="K1027" s="1"/>
      <c r="L1027" s="3"/>
      <c r="M1027" s="1"/>
      <c r="N1027" s="1"/>
    </row>
    <row r="1028" spans="1:14" x14ac:dyDescent="0.2">
      <c r="A1028" s="1"/>
      <c r="B1028" s="1" t="s">
        <v>129</v>
      </c>
      <c r="C1028" s="1"/>
      <c r="D1028" s="1"/>
      <c r="E1028" s="1"/>
      <c r="F1028" s="1"/>
      <c r="G1028" s="1"/>
      <c r="H1028" s="1"/>
      <c r="I1028" s="1"/>
      <c r="J1028" s="1"/>
      <c r="K1028" s="1"/>
      <c r="L1028" s="3"/>
      <c r="M1028" s="1"/>
      <c r="N1028" s="1"/>
    </row>
    <row r="1029" spans="1:14" x14ac:dyDescent="0.2">
      <c r="A1029" s="1"/>
      <c r="B1029" s="1"/>
      <c r="C1029" s="1"/>
      <c r="D1029" s="1"/>
      <c r="E1029" s="1"/>
      <c r="F1029" s="1"/>
      <c r="G1029" s="1"/>
      <c r="H1029" s="1"/>
      <c r="I1029" s="1"/>
      <c r="J1029" s="1"/>
      <c r="K1029" s="1"/>
      <c r="L1029" s="3"/>
      <c r="M1029" s="1"/>
      <c r="N1029" s="1"/>
    </row>
    <row r="1030" spans="1:14" x14ac:dyDescent="0.2">
      <c r="A1030" s="1"/>
      <c r="B1030" s="82" t="s">
        <v>1033</v>
      </c>
      <c r="C1030" s="318" t="s">
        <v>995</v>
      </c>
      <c r="D1030" s="1"/>
      <c r="E1030" s="1"/>
      <c r="F1030" s="1"/>
      <c r="G1030" s="1"/>
      <c r="H1030" s="1"/>
      <c r="I1030" s="1"/>
      <c r="J1030" s="73" t="str">
        <f>IF(C1030="x","Het juiste antwoord is:  vaststelling van beoordelingsCRITERIA!","")</f>
        <v/>
      </c>
      <c r="K1030" s="1"/>
      <c r="L1030" s="3"/>
      <c r="M1030" s="1"/>
      <c r="N1030" s="1"/>
    </row>
    <row r="1031" spans="1:14" x14ac:dyDescent="0.2">
      <c r="A1031" s="1"/>
      <c r="B1031" s="3" t="str">
        <f>IF(C1030="x",J1030,"")</f>
        <v/>
      </c>
      <c r="C1031" s="1"/>
      <c r="D1031" s="1"/>
      <c r="E1031" s="1"/>
      <c r="F1031" s="1"/>
      <c r="G1031" s="1"/>
      <c r="H1031" s="1"/>
      <c r="I1031" s="1"/>
      <c r="J1031" s="1"/>
      <c r="K1031" s="1"/>
      <c r="L1031" s="3"/>
      <c r="M1031" s="1"/>
      <c r="N1031" s="1"/>
    </row>
    <row r="1032" spans="1:14" x14ac:dyDescent="0.2">
      <c r="A1032" s="14"/>
      <c r="B1032" s="14"/>
      <c r="C1032" s="14"/>
      <c r="D1032" s="180"/>
      <c r="E1032" s="14"/>
      <c r="F1032" s="14"/>
      <c r="G1032" s="14"/>
      <c r="H1032" s="14"/>
      <c r="I1032" s="14"/>
      <c r="J1032" s="1"/>
      <c r="K1032" s="1"/>
      <c r="L1032" s="3"/>
      <c r="M1032" s="1"/>
      <c r="N1032" s="1"/>
    </row>
    <row r="1033" spans="1:14" x14ac:dyDescent="0.2">
      <c r="A1033" s="1"/>
      <c r="B1033" s="1"/>
      <c r="C1033" s="1"/>
      <c r="D1033" s="1"/>
      <c r="E1033" s="1"/>
      <c r="F1033" s="1"/>
      <c r="G1033" s="1"/>
      <c r="H1033" s="1"/>
      <c r="I1033" s="1"/>
      <c r="J1033" s="1"/>
      <c r="K1033" s="1"/>
      <c r="L1033" s="3"/>
      <c r="M1033" s="1"/>
      <c r="N1033" s="1"/>
    </row>
    <row r="1034" spans="1:14" x14ac:dyDescent="0.2">
      <c r="A1034" s="67" t="s">
        <v>880</v>
      </c>
      <c r="B1034" s="67" t="s">
        <v>2705</v>
      </c>
      <c r="C1034" s="1"/>
      <c r="D1034" s="1"/>
      <c r="E1034" s="1"/>
      <c r="F1034" s="1"/>
      <c r="G1034" s="1"/>
      <c r="H1034" s="1"/>
      <c r="I1034" s="1"/>
      <c r="J1034" s="1"/>
      <c r="K1034" s="1"/>
      <c r="L1034" s="3"/>
      <c r="M1034" s="1"/>
      <c r="N1034" s="1"/>
    </row>
    <row r="1035" spans="1:14" x14ac:dyDescent="0.2">
      <c r="A1035" s="1"/>
      <c r="B1035" s="1" t="s">
        <v>2436</v>
      </c>
      <c r="C1035" s="1"/>
      <c r="D1035" s="1"/>
      <c r="E1035" s="1"/>
      <c r="F1035" s="1"/>
      <c r="G1035" s="1"/>
      <c r="H1035" s="1"/>
      <c r="I1035" s="1"/>
      <c r="J1035" s="1"/>
      <c r="K1035" s="1"/>
      <c r="L1035" s="3"/>
      <c r="M1035" s="1"/>
      <c r="N1035" s="1"/>
    </row>
    <row r="1036" spans="1:14" x14ac:dyDescent="0.2">
      <c r="A1036" s="1"/>
      <c r="B1036" s="1" t="s">
        <v>154</v>
      </c>
      <c r="C1036" s="12" t="s">
        <v>151</v>
      </c>
      <c r="D1036" s="12" t="s">
        <v>139</v>
      </c>
      <c r="E1036" s="12" t="s">
        <v>141</v>
      </c>
      <c r="F1036" s="12" t="s">
        <v>143</v>
      </c>
      <c r="G1036" s="12" t="s">
        <v>144</v>
      </c>
      <c r="H1036" s="1"/>
      <c r="I1036" s="1"/>
      <c r="J1036" s="1"/>
      <c r="K1036" s="1"/>
      <c r="L1036" s="3"/>
      <c r="M1036" s="1"/>
      <c r="N1036" s="1"/>
    </row>
    <row r="1037" spans="1:14" ht="13.5" thickBot="1" x14ac:dyDescent="0.25">
      <c r="A1037" s="1"/>
      <c r="C1037" s="141" t="s">
        <v>142</v>
      </c>
      <c r="D1037" s="141" t="s">
        <v>140</v>
      </c>
      <c r="E1037" s="141" t="s">
        <v>142</v>
      </c>
      <c r="F1037" s="141" t="s">
        <v>142</v>
      </c>
      <c r="G1037" s="141" t="s">
        <v>142</v>
      </c>
      <c r="H1037" s="1"/>
      <c r="I1037" s="1"/>
      <c r="J1037" s="1"/>
      <c r="K1037" s="1"/>
      <c r="L1037" s="3"/>
      <c r="M1037" s="1"/>
      <c r="N1037" s="1"/>
    </row>
    <row r="1038" spans="1:14" ht="13.5" thickTop="1" x14ac:dyDescent="0.2">
      <c r="A1038" s="357" t="s">
        <v>999</v>
      </c>
      <c r="B1038" s="592" t="s">
        <v>138</v>
      </c>
      <c r="C1038" s="407"/>
      <c r="D1038" s="407"/>
      <c r="E1038" s="407"/>
      <c r="F1038" s="407"/>
      <c r="G1038" s="407"/>
      <c r="H1038" s="1"/>
      <c r="I1038" s="1"/>
      <c r="J1038" s="1"/>
      <c r="K1038" s="1"/>
      <c r="L1038" s="3"/>
      <c r="M1038" s="1"/>
      <c r="N1038" s="1"/>
    </row>
    <row r="1039" spans="1:14" ht="13.5" thickBot="1" x14ac:dyDescent="0.25">
      <c r="A1039" s="55"/>
      <c r="B1039" s="64" t="s">
        <v>145</v>
      </c>
      <c r="C1039" s="358"/>
      <c r="D1039" s="358"/>
      <c r="E1039" s="358"/>
      <c r="F1039" s="358" t="s">
        <v>995</v>
      </c>
      <c r="G1039" s="358"/>
      <c r="H1039" s="1"/>
      <c r="I1039" s="1"/>
      <c r="J1039" s="5" t="str">
        <f>IF(F1039="x","JUIST","")</f>
        <v/>
      </c>
      <c r="K1039" s="5">
        <f>ABS(IF(J1039="JUIST","1","0"))</f>
        <v>0</v>
      </c>
      <c r="L1039" s="3">
        <v>1</v>
      </c>
      <c r="M1039" s="1" t="s">
        <v>304</v>
      </c>
      <c r="N1039" s="1"/>
    </row>
    <row r="1040" spans="1:14" ht="13.5" thickTop="1" x14ac:dyDescent="0.2">
      <c r="A1040" s="357" t="s">
        <v>1000</v>
      </c>
      <c r="B1040" s="592" t="s">
        <v>147</v>
      </c>
      <c r="C1040" s="407"/>
      <c r="D1040" s="407"/>
      <c r="E1040" s="407"/>
      <c r="F1040" s="407"/>
      <c r="G1040" s="407"/>
      <c r="H1040" s="1"/>
      <c r="I1040" s="1"/>
      <c r="J1040" s="1"/>
      <c r="K1040" s="1"/>
      <c r="L1040" s="3"/>
      <c r="M1040" s="1" t="s">
        <v>995</v>
      </c>
      <c r="N1040" s="1"/>
    </row>
    <row r="1041" spans="1:14" ht="13.5" thickBot="1" x14ac:dyDescent="0.25">
      <c r="A1041" s="55"/>
      <c r="B1041" s="55" t="s">
        <v>146</v>
      </c>
      <c r="C1041" s="358"/>
      <c r="D1041" s="358" t="s">
        <v>995</v>
      </c>
      <c r="E1041" s="358" t="s">
        <v>995</v>
      </c>
      <c r="F1041" s="358"/>
      <c r="G1041" s="358"/>
      <c r="H1041" s="1"/>
      <c r="I1041" s="1"/>
      <c r="J1041" s="5" t="str">
        <f>IF(E1041="x","JUIST","")</f>
        <v/>
      </c>
      <c r="K1041" s="5">
        <f>ABS(IF(J1041="JUIST","1","0"))</f>
        <v>0</v>
      </c>
      <c r="L1041" s="3">
        <v>1</v>
      </c>
      <c r="M1041" s="1"/>
      <c r="N1041" s="1"/>
    </row>
    <row r="1042" spans="1:14" ht="13.5" thickTop="1" x14ac:dyDescent="0.2">
      <c r="A1042" s="357" t="s">
        <v>1001</v>
      </c>
      <c r="B1042" s="592" t="s">
        <v>148</v>
      </c>
      <c r="C1042" s="407"/>
      <c r="D1042" s="407"/>
      <c r="E1042" s="407"/>
      <c r="F1042" s="407"/>
      <c r="G1042" s="407"/>
      <c r="H1042" s="1"/>
      <c r="I1042" s="1"/>
      <c r="J1042" s="1"/>
      <c r="K1042" s="1"/>
      <c r="L1042" s="3"/>
      <c r="M1042" s="1"/>
      <c r="N1042" s="1"/>
    </row>
    <row r="1043" spans="1:14" ht="13.5" thickBot="1" x14ac:dyDescent="0.25">
      <c r="A1043" s="55"/>
      <c r="B1043" s="55" t="s">
        <v>149</v>
      </c>
      <c r="C1043" s="358"/>
      <c r="D1043" s="358"/>
      <c r="E1043" s="358"/>
      <c r="F1043" s="358"/>
      <c r="G1043" s="358" t="s">
        <v>995</v>
      </c>
      <c r="H1043" s="1"/>
      <c r="I1043" s="1"/>
      <c r="J1043" s="5" t="str">
        <f>IF(G1043="x","JUIST","")</f>
        <v/>
      </c>
      <c r="K1043" s="5">
        <f>ABS(IF(J1043="JUIST","1","0"))</f>
        <v>0</v>
      </c>
      <c r="L1043" s="3">
        <v>1</v>
      </c>
      <c r="M1043" s="1"/>
      <c r="N1043" s="1"/>
    </row>
    <row r="1044" spans="1:14" ht="13.5" thickTop="1" x14ac:dyDescent="0.2">
      <c r="A1044" s="357" t="s">
        <v>1002</v>
      </c>
      <c r="B1044" s="592" t="s">
        <v>2755</v>
      </c>
      <c r="C1044" s="407"/>
      <c r="D1044" s="407"/>
      <c r="E1044" s="407"/>
      <c r="F1044" s="407"/>
      <c r="G1044" s="407"/>
      <c r="H1044" s="1"/>
      <c r="I1044" s="1"/>
      <c r="J1044" s="1"/>
      <c r="K1044" s="1"/>
      <c r="L1044" s="3"/>
      <c r="M1044" s="1"/>
      <c r="N1044" s="1"/>
    </row>
    <row r="1045" spans="1:14" x14ac:dyDescent="0.2">
      <c r="A1045" s="55"/>
      <c r="B1045" s="64" t="s">
        <v>2437</v>
      </c>
      <c r="C1045" s="407"/>
      <c r="D1045" s="407"/>
      <c r="E1045" s="407"/>
      <c r="F1045" s="407"/>
      <c r="G1045" s="407"/>
      <c r="H1045" s="1"/>
      <c r="I1045" s="1"/>
      <c r="J1045" s="1"/>
      <c r="K1045" s="1"/>
      <c r="L1045" s="3"/>
      <c r="M1045" s="1"/>
      <c r="N1045" s="1"/>
    </row>
    <row r="1046" spans="1:14" ht="13.5" thickBot="1" x14ac:dyDescent="0.25">
      <c r="A1046" s="55"/>
      <c r="B1046" s="55" t="s">
        <v>150</v>
      </c>
      <c r="C1046" s="358"/>
      <c r="D1046" s="358" t="s">
        <v>995</v>
      </c>
      <c r="E1046" s="358"/>
      <c r="F1046" s="358"/>
      <c r="G1046" s="358" t="s">
        <v>995</v>
      </c>
      <c r="H1046" s="1"/>
      <c r="I1046" s="1"/>
      <c r="J1046" s="5" t="str">
        <f>IF(D1046="x","JUIST","")</f>
        <v/>
      </c>
      <c r="K1046" s="5">
        <f>ABS(IF(J1046="JUIST","1","0"))</f>
        <v>0</v>
      </c>
      <c r="L1046" s="3">
        <v>1</v>
      </c>
      <c r="M1046" s="1"/>
      <c r="N1046" s="1"/>
    </row>
    <row r="1047" spans="1:14" ht="13.5" thickTop="1" x14ac:dyDescent="0.2">
      <c r="A1047" s="357" t="s">
        <v>863</v>
      </c>
      <c r="B1047" s="592" t="s">
        <v>2438</v>
      </c>
      <c r="C1047" s="407"/>
      <c r="D1047" s="407"/>
      <c r="E1047" s="407"/>
      <c r="F1047" s="407"/>
      <c r="G1047" s="407"/>
      <c r="H1047" s="1"/>
      <c r="I1047" s="1"/>
      <c r="J1047" s="1"/>
      <c r="K1047" s="1"/>
      <c r="L1047" s="3"/>
      <c r="M1047" s="1"/>
      <c r="N1047" s="1"/>
    </row>
    <row r="1048" spans="1:14" x14ac:dyDescent="0.2">
      <c r="A1048" s="55"/>
      <c r="B1048" s="64" t="s">
        <v>2439</v>
      </c>
      <c r="C1048" s="407"/>
      <c r="D1048" s="407"/>
      <c r="E1048" s="407"/>
      <c r="F1048" s="407"/>
      <c r="G1048" s="407"/>
      <c r="H1048" s="1"/>
      <c r="I1048" s="1"/>
      <c r="J1048" s="1"/>
      <c r="K1048" s="1"/>
      <c r="L1048" s="3"/>
      <c r="M1048" s="1"/>
      <c r="N1048" s="1"/>
    </row>
    <row r="1049" spans="1:14" ht="13.5" thickBot="1" x14ac:dyDescent="0.25">
      <c r="A1049" s="55"/>
      <c r="B1049" s="55" t="s">
        <v>2440</v>
      </c>
      <c r="C1049" s="358" t="s">
        <v>995</v>
      </c>
      <c r="D1049" s="358"/>
      <c r="E1049" s="358"/>
      <c r="F1049" s="358"/>
      <c r="G1049" s="358"/>
      <c r="H1049" s="1"/>
      <c r="I1049" s="1"/>
      <c r="J1049" s="5" t="str">
        <f>IF(C1049="x","JUIST","")</f>
        <v/>
      </c>
      <c r="K1049" s="5">
        <f>ABS(IF(J1049="JUIST","1","0"))</f>
        <v>0</v>
      </c>
      <c r="L1049" s="3">
        <v>1</v>
      </c>
      <c r="M1049" s="1"/>
      <c r="N1049" s="1"/>
    </row>
    <row r="1050" spans="1:14" ht="13.5" thickTop="1" x14ac:dyDescent="0.2">
      <c r="A1050" s="357" t="s">
        <v>1080</v>
      </c>
      <c r="B1050" s="592" t="s">
        <v>2441</v>
      </c>
      <c r="C1050" s="407"/>
      <c r="D1050" s="407"/>
      <c r="E1050" s="407"/>
      <c r="F1050" s="407"/>
      <c r="G1050" s="407"/>
      <c r="H1050" s="1"/>
      <c r="I1050" s="1"/>
      <c r="J1050" s="1"/>
      <c r="K1050" s="1"/>
      <c r="L1050" s="3"/>
      <c r="M1050" s="1"/>
      <c r="N1050" s="1"/>
    </row>
    <row r="1051" spans="1:14" ht="13.5" thickBot="1" x14ac:dyDescent="0.25">
      <c r="A1051" s="55"/>
      <c r="B1051" s="64" t="s">
        <v>2754</v>
      </c>
      <c r="C1051" s="358"/>
      <c r="D1051" s="358"/>
      <c r="E1051" s="358"/>
      <c r="F1051" s="358"/>
      <c r="G1051" s="358" t="s">
        <v>995</v>
      </c>
      <c r="H1051" s="1"/>
      <c r="I1051" s="1"/>
      <c r="J1051" s="5" t="str">
        <f>IF(G1051="x","JUIST","")</f>
        <v/>
      </c>
      <c r="K1051" s="5">
        <f>ABS(IF(J1051="JUIST","1","0"))</f>
        <v>0</v>
      </c>
      <c r="L1051" s="3">
        <v>1</v>
      </c>
      <c r="M1051" s="1"/>
      <c r="N1051" s="1"/>
    </row>
    <row r="1052" spans="1:14" ht="13.5" thickTop="1" x14ac:dyDescent="0.2">
      <c r="A1052" s="357" t="s">
        <v>1082</v>
      </c>
      <c r="B1052" s="592" t="s">
        <v>152</v>
      </c>
      <c r="C1052" s="407"/>
      <c r="D1052" s="407"/>
      <c r="E1052" s="407"/>
      <c r="F1052" s="407"/>
      <c r="G1052" s="407"/>
      <c r="H1052" s="1"/>
      <c r="I1052" s="1"/>
      <c r="J1052" s="1"/>
      <c r="K1052" s="1"/>
      <c r="L1052" s="3"/>
      <c r="M1052" s="1"/>
      <c r="N1052" s="1"/>
    </row>
    <row r="1053" spans="1:14" ht="13.5" thickBot="1" x14ac:dyDescent="0.25">
      <c r="A1053" s="55"/>
      <c r="B1053" s="55" t="s">
        <v>153</v>
      </c>
      <c r="C1053" s="593" t="s">
        <v>995</v>
      </c>
      <c r="D1053" s="593" t="s">
        <v>995</v>
      </c>
      <c r="E1053" s="358" t="s">
        <v>995</v>
      </c>
      <c r="F1053" s="358" t="s">
        <v>995</v>
      </c>
      <c r="G1053" s="358"/>
      <c r="H1053" s="1"/>
      <c r="I1053" s="1"/>
      <c r="J1053" s="5" t="str">
        <f>IF(F1053="x","JUIST","")</f>
        <v/>
      </c>
      <c r="K1053" s="5">
        <f>ABS(IF(J1053="JUIST","1","0"))</f>
        <v>0</v>
      </c>
      <c r="L1053" s="3">
        <v>1</v>
      </c>
      <c r="M1053" s="1"/>
      <c r="N1053" s="1"/>
    </row>
    <row r="1054" spans="1:14" ht="13.5" thickTop="1" x14ac:dyDescent="0.2">
      <c r="A1054" s="94"/>
      <c r="B1054" s="94"/>
      <c r="C1054" s="1"/>
      <c r="D1054" s="1"/>
      <c r="E1054" s="1"/>
      <c r="F1054" s="1"/>
      <c r="G1054" s="1"/>
      <c r="H1054" s="1"/>
      <c r="I1054" s="1"/>
      <c r="J1054" s="1"/>
      <c r="K1054" s="1"/>
      <c r="L1054" s="3"/>
      <c r="M1054" s="1"/>
      <c r="N1054" s="1"/>
    </row>
    <row r="1055" spans="1:14" x14ac:dyDescent="0.2">
      <c r="A1055" s="1"/>
      <c r="B1055" s="82" t="s">
        <v>1033</v>
      </c>
      <c r="C1055" s="318" t="s">
        <v>995</v>
      </c>
      <c r="D1055" s="1"/>
      <c r="E1055" s="1"/>
      <c r="F1055" s="1"/>
      <c r="G1055" s="1"/>
      <c r="H1055" s="1"/>
      <c r="I1055" s="1"/>
      <c r="J1055" s="1"/>
      <c r="K1055" s="1"/>
      <c r="L1055" s="3"/>
      <c r="M1055" s="1"/>
      <c r="N1055" s="1"/>
    </row>
    <row r="1056" spans="1:14" x14ac:dyDescent="0.2">
      <c r="A1056" s="1"/>
      <c r="B1056" s="1"/>
      <c r="C1056" s="1"/>
      <c r="D1056" s="1"/>
      <c r="E1056" s="1"/>
      <c r="F1056" s="1"/>
      <c r="G1056" s="1"/>
      <c r="H1056" s="1"/>
      <c r="I1056" s="1"/>
      <c r="J1056" s="1"/>
      <c r="K1056" s="1"/>
      <c r="L1056" s="3"/>
      <c r="M1056" s="1"/>
      <c r="N1056" s="1"/>
    </row>
    <row r="1057" spans="1:14" x14ac:dyDescent="0.2">
      <c r="A1057" s="14"/>
      <c r="B1057" s="14"/>
      <c r="C1057" s="14"/>
      <c r="D1057" s="180"/>
      <c r="E1057" s="14"/>
      <c r="F1057" s="14"/>
      <c r="G1057" s="14"/>
      <c r="H1057" s="14"/>
      <c r="I1057" s="14"/>
      <c r="J1057" s="1"/>
      <c r="K1057" s="1"/>
      <c r="L1057" s="3"/>
      <c r="M1057" s="1"/>
      <c r="N1057" s="1"/>
    </row>
    <row r="1058" spans="1:14" x14ac:dyDescent="0.2">
      <c r="A1058" s="1"/>
      <c r="B1058" s="1"/>
      <c r="C1058" s="1"/>
      <c r="D1058" s="1"/>
      <c r="E1058" s="1"/>
      <c r="F1058" s="1"/>
      <c r="G1058" s="1"/>
      <c r="H1058" s="1"/>
      <c r="I1058" s="1"/>
      <c r="J1058" s="1"/>
      <c r="K1058" s="1"/>
      <c r="L1058" s="3"/>
      <c r="M1058" s="1"/>
      <c r="N1058" s="1"/>
    </row>
    <row r="1059" spans="1:14" ht="26.25" thickBot="1" x14ac:dyDescent="0.25">
      <c r="A1059" s="67" t="s">
        <v>915</v>
      </c>
      <c r="B1059" s="103" t="s">
        <v>2756</v>
      </c>
      <c r="C1059" s="1"/>
      <c r="D1059" s="102" t="s">
        <v>446</v>
      </c>
      <c r="E1059" s="102" t="s">
        <v>1623</v>
      </c>
      <c r="F1059" s="526" t="s">
        <v>2119</v>
      </c>
      <c r="G1059" s="527" t="s">
        <v>2120</v>
      </c>
      <c r="H1059" s="1"/>
      <c r="I1059" s="1"/>
      <c r="J1059" s="5" t="str">
        <f>IF(D1060="x","FOUT","")</f>
        <v/>
      </c>
      <c r="K1059" s="5">
        <f>ABS(IF(J1059="JUIST","1","0"))</f>
        <v>0</v>
      </c>
      <c r="L1059" s="3" t="s">
        <v>995</v>
      </c>
      <c r="M1059" s="1"/>
      <c r="N1059" s="1"/>
    </row>
    <row r="1060" spans="1:14" ht="13.5" thickTop="1" x14ac:dyDescent="0.2">
      <c r="A1060" s="1"/>
      <c r="B1060" s="61" t="s">
        <v>2442</v>
      </c>
      <c r="C1060" s="1"/>
      <c r="D1060" s="425" t="s">
        <v>995</v>
      </c>
      <c r="E1060" s="425" t="s">
        <v>995</v>
      </c>
      <c r="F1060" s="425" t="s">
        <v>995</v>
      </c>
      <c r="G1060" s="425" t="s">
        <v>995</v>
      </c>
      <c r="H1060" s="1"/>
      <c r="I1060" s="1"/>
      <c r="J1060" s="5" t="str">
        <f>IF(E1060="x","FOUT","")</f>
        <v/>
      </c>
      <c r="K1060" s="5">
        <f>ABS(IF(J1060="JUIST","1","0"))</f>
        <v>0</v>
      </c>
      <c r="L1060" s="3"/>
      <c r="M1060" s="1"/>
      <c r="N1060" s="1"/>
    </row>
    <row r="1061" spans="1:14" x14ac:dyDescent="0.2">
      <c r="A1061" s="1"/>
      <c r="B1061" s="67" t="s">
        <v>2443</v>
      </c>
      <c r="D1061" s="3" t="s">
        <v>475</v>
      </c>
      <c r="E1061" s="3" t="s">
        <v>476</v>
      </c>
      <c r="F1061" s="3" t="s">
        <v>477</v>
      </c>
      <c r="G1061" s="3" t="s">
        <v>478</v>
      </c>
      <c r="H1061" s="1"/>
      <c r="I1061" s="1"/>
      <c r="J1061" s="5" t="str">
        <f>IF(F1060="x","JUIST","")</f>
        <v/>
      </c>
      <c r="K1061" s="5">
        <f>ABS(IF(J1061="JUIST","1","0"))</f>
        <v>0</v>
      </c>
      <c r="L1061" s="3">
        <v>1</v>
      </c>
      <c r="M1061" s="1"/>
      <c r="N1061" s="1"/>
    </row>
    <row r="1062" spans="1:14" x14ac:dyDescent="0.2">
      <c r="A1062" s="1"/>
      <c r="C1062" s="1"/>
      <c r="D1062" s="1"/>
      <c r="E1062" s="1"/>
      <c r="F1062" s="1"/>
      <c r="G1062" s="1"/>
      <c r="H1062" s="1"/>
      <c r="I1062" s="1"/>
      <c r="J1062" s="5" t="str">
        <f>IF(G1060="x","FOUT","")</f>
        <v/>
      </c>
      <c r="K1062" s="5">
        <f>ABS(IF(J1062="JUIST","1","0"))</f>
        <v>0</v>
      </c>
      <c r="L1062" s="3" t="s">
        <v>995</v>
      </c>
      <c r="M1062" s="1"/>
      <c r="N1062" s="1"/>
    </row>
    <row r="1063" spans="1:14" x14ac:dyDescent="0.2">
      <c r="A1063" s="1"/>
      <c r="B1063" s="82" t="s">
        <v>1033</v>
      </c>
      <c r="C1063" s="318" t="s">
        <v>995</v>
      </c>
      <c r="D1063" s="3"/>
      <c r="E1063" s="3"/>
      <c r="F1063" s="3"/>
      <c r="G1063" s="1"/>
      <c r="H1063" s="1"/>
      <c r="I1063" s="1"/>
      <c r="J1063" s="73" t="str">
        <f>IF(C1063="x","Het juiste antwoord is:  C.","")</f>
        <v/>
      </c>
      <c r="K1063" s="1"/>
      <c r="L1063" s="3"/>
      <c r="M1063" s="1"/>
      <c r="N1063" s="1"/>
    </row>
    <row r="1064" spans="1:14" x14ac:dyDescent="0.2">
      <c r="A1064" s="1"/>
      <c r="B1064" s="3" t="str">
        <f>IF(C1063="x",J1063,"")</f>
        <v/>
      </c>
      <c r="C1064" s="1"/>
      <c r="D1064" s="1"/>
      <c r="E1064" s="1"/>
      <c r="G1064" s="1"/>
      <c r="H1064" s="1"/>
      <c r="I1064" s="1"/>
      <c r="K1064" s="1"/>
      <c r="M1064" s="1"/>
      <c r="N1064" s="1"/>
    </row>
    <row r="1065" spans="1:14" x14ac:dyDescent="0.2">
      <c r="A1065" s="14"/>
      <c r="B1065" s="14"/>
      <c r="C1065" s="14"/>
      <c r="D1065" s="180"/>
      <c r="E1065" s="14"/>
      <c r="F1065" s="14"/>
      <c r="G1065" s="14"/>
      <c r="H1065" s="14"/>
      <c r="I1065" s="14"/>
      <c r="J1065" s="1"/>
      <c r="K1065" s="1"/>
      <c r="L1065" s="3"/>
      <c r="M1065" s="1"/>
      <c r="N1065" s="1"/>
    </row>
    <row r="1066" spans="1:14" x14ac:dyDescent="0.2">
      <c r="A1066" s="1"/>
      <c r="B1066" s="1"/>
      <c r="C1066" s="1"/>
      <c r="D1066" s="1"/>
      <c r="E1066" s="1"/>
      <c r="F1066" s="1"/>
      <c r="G1066" s="1"/>
      <c r="H1066" s="1"/>
      <c r="I1066" s="1"/>
      <c r="J1066" s="1"/>
      <c r="K1066" s="1"/>
      <c r="L1066" s="3"/>
      <c r="M1066" s="1"/>
      <c r="N1066" s="1"/>
    </row>
    <row r="1067" spans="1:14" ht="26.25" thickBot="1" x14ac:dyDescent="0.25">
      <c r="A1067" s="67" t="s">
        <v>933</v>
      </c>
      <c r="B1067" s="103" t="s">
        <v>2444</v>
      </c>
      <c r="C1067" s="1"/>
      <c r="D1067" s="102" t="s">
        <v>446</v>
      </c>
      <c r="E1067" s="102" t="s">
        <v>1623</v>
      </c>
      <c r="F1067" s="526" t="s">
        <v>2119</v>
      </c>
      <c r="G1067" s="527" t="s">
        <v>2120</v>
      </c>
      <c r="H1067" s="1"/>
      <c r="I1067" s="1"/>
      <c r="J1067" s="5" t="str">
        <f>IF(D1068="x","FOUT","")</f>
        <v/>
      </c>
      <c r="K1067" s="5">
        <f>ABS(IF(J1067="JUIST","1","0"))</f>
        <v>0</v>
      </c>
      <c r="L1067" s="3" t="s">
        <v>995</v>
      </c>
      <c r="M1067" s="1"/>
      <c r="N1067" s="1"/>
    </row>
    <row r="1068" spans="1:14" ht="13.5" thickTop="1" x14ac:dyDescent="0.2">
      <c r="A1068" s="1"/>
      <c r="B1068" s="67" t="s">
        <v>2445</v>
      </c>
      <c r="D1068" s="425" t="s">
        <v>995</v>
      </c>
      <c r="E1068" s="425" t="s">
        <v>995</v>
      </c>
      <c r="F1068" s="425" t="s">
        <v>995</v>
      </c>
      <c r="G1068" s="425" t="s">
        <v>995</v>
      </c>
      <c r="H1068" s="1"/>
      <c r="I1068" s="1"/>
      <c r="J1068" s="5" t="str">
        <f>IF(E1068="x","JUIST","")</f>
        <v/>
      </c>
      <c r="K1068" s="5">
        <f>ABS(IF(J1068="JUIST","1","0"))</f>
        <v>0</v>
      </c>
      <c r="L1068" s="3">
        <v>1</v>
      </c>
      <c r="M1068" s="1"/>
      <c r="N1068" s="1"/>
    </row>
    <row r="1069" spans="1:14" x14ac:dyDescent="0.2">
      <c r="A1069" s="1"/>
      <c r="B1069" s="61" t="s">
        <v>2446</v>
      </c>
      <c r="C1069" s="1"/>
      <c r="D1069" s="3" t="s">
        <v>475</v>
      </c>
      <c r="E1069" s="3" t="s">
        <v>476</v>
      </c>
      <c r="F1069" s="3" t="s">
        <v>477</v>
      </c>
      <c r="G1069" s="3" t="s">
        <v>478</v>
      </c>
      <c r="H1069" s="1"/>
      <c r="I1069" s="1"/>
      <c r="J1069" s="5" t="str">
        <f>IF(F1068="x","FOUT","")</f>
        <v/>
      </c>
      <c r="K1069" s="5">
        <f>ABS(IF(J1069="JUIST","1","0"))</f>
        <v>0</v>
      </c>
      <c r="L1069" s="3"/>
      <c r="M1069" s="1"/>
      <c r="N1069" s="1"/>
    </row>
    <row r="1070" spans="1:14" x14ac:dyDescent="0.2">
      <c r="A1070" s="1"/>
      <c r="B1070" s="67" t="s">
        <v>2447</v>
      </c>
      <c r="C1070" s="1"/>
      <c r="D1070" s="1"/>
      <c r="E1070" s="1"/>
      <c r="F1070" s="1"/>
      <c r="G1070" s="1"/>
      <c r="H1070" s="1"/>
      <c r="I1070" s="1"/>
      <c r="J1070" s="5" t="str">
        <f>IF(G1068="x","FOUT","")</f>
        <v/>
      </c>
      <c r="K1070" s="5">
        <f>ABS(IF(J1070="JUIST","1","0"))</f>
        <v>0</v>
      </c>
      <c r="L1070" s="3" t="s">
        <v>995</v>
      </c>
      <c r="M1070" s="1"/>
      <c r="N1070" s="1"/>
    </row>
    <row r="1071" spans="1:14" x14ac:dyDescent="0.2">
      <c r="A1071" s="1"/>
      <c r="B1071" s="67" t="s">
        <v>2757</v>
      </c>
      <c r="D1071" s="1"/>
      <c r="E1071" s="1"/>
      <c r="F1071" s="1"/>
      <c r="G1071" s="1"/>
      <c r="I1071" s="1"/>
      <c r="J1071" s="5"/>
      <c r="K1071" s="79"/>
      <c r="L1071" s="3"/>
      <c r="M1071" s="1"/>
      <c r="N1071" s="1"/>
    </row>
    <row r="1072" spans="1:14" x14ac:dyDescent="0.2">
      <c r="A1072" s="1"/>
      <c r="C1072" s="1"/>
      <c r="D1072" s="3"/>
      <c r="E1072" s="3"/>
      <c r="F1072" s="3"/>
      <c r="G1072" s="1"/>
      <c r="H1072" s="1"/>
      <c r="I1072" s="1"/>
      <c r="J1072" s="73" t="str">
        <f>IF(C1073="x","Het juiste antwoord is:  B.","")</f>
        <v/>
      </c>
      <c r="K1072" s="1"/>
      <c r="L1072" s="3"/>
      <c r="M1072" s="1"/>
      <c r="N1072" s="1"/>
    </row>
    <row r="1073" spans="1:14" x14ac:dyDescent="0.2">
      <c r="A1073" s="1"/>
      <c r="B1073" s="82" t="s">
        <v>1033</v>
      </c>
      <c r="C1073" s="318" t="s">
        <v>995</v>
      </c>
      <c r="D1073" s="1"/>
      <c r="E1073" s="1"/>
      <c r="G1073" s="1"/>
      <c r="H1073" s="1"/>
      <c r="I1073" s="1"/>
      <c r="K1073" s="1"/>
      <c r="M1073" s="1"/>
      <c r="N1073" s="1"/>
    </row>
    <row r="1074" spans="1:14" x14ac:dyDescent="0.2">
      <c r="A1074" s="1"/>
      <c r="B1074" s="3" t="str">
        <f>IF(C1073="x",J1072,"")</f>
        <v/>
      </c>
      <c r="C1074" s="1"/>
      <c r="D1074" s="1"/>
      <c r="E1074" s="1"/>
      <c r="F1074" s="1"/>
      <c r="G1074" s="1"/>
      <c r="H1074" s="1"/>
      <c r="I1074" s="1"/>
      <c r="J1074" s="1"/>
      <c r="K1074" s="1"/>
      <c r="L1074" s="3"/>
      <c r="M1074" s="1"/>
      <c r="N1074" s="1"/>
    </row>
    <row r="1075" spans="1:14" x14ac:dyDescent="0.2">
      <c r="A1075" s="14"/>
      <c r="B1075" s="14"/>
      <c r="C1075" s="14"/>
      <c r="D1075" s="180"/>
      <c r="E1075" s="14"/>
      <c r="F1075" s="14"/>
      <c r="G1075" s="14"/>
      <c r="H1075" s="14"/>
      <c r="I1075" s="14"/>
      <c r="J1075" s="1"/>
      <c r="K1075" s="1"/>
      <c r="L1075" s="3"/>
      <c r="M1075" s="1"/>
      <c r="N1075" s="1"/>
    </row>
    <row r="1076" spans="1:14" x14ac:dyDescent="0.2">
      <c r="A1076" s="1"/>
      <c r="B1076" s="1"/>
      <c r="C1076" s="1"/>
      <c r="D1076" s="1"/>
      <c r="E1076" s="1"/>
      <c r="F1076" s="1"/>
      <c r="G1076" s="1"/>
      <c r="H1076" s="1"/>
      <c r="I1076" s="1"/>
      <c r="J1076" s="5" t="str">
        <f>IF(D1080=7,"JUIST","")</f>
        <v/>
      </c>
      <c r="K1076" s="5">
        <f>ABS(IF(J1076="JUIST","1","0"))</f>
        <v>0</v>
      </c>
      <c r="L1076" s="3">
        <v>1</v>
      </c>
      <c r="M1076" s="1"/>
      <c r="N1076" s="1"/>
    </row>
    <row r="1077" spans="1:14" x14ac:dyDescent="0.2">
      <c r="A1077" s="67" t="s">
        <v>936</v>
      </c>
      <c r="B1077" s="1" t="s">
        <v>2448</v>
      </c>
      <c r="C1077" s="1"/>
      <c r="D1077" s="359" t="s">
        <v>872</v>
      </c>
      <c r="E1077" s="1"/>
      <c r="F1077" s="1"/>
      <c r="G1077" s="1"/>
      <c r="H1077" s="1"/>
      <c r="I1077" s="1"/>
      <c r="J1077" s="1"/>
      <c r="K1077" s="1"/>
      <c r="L1077" s="3"/>
      <c r="M1077" s="1"/>
      <c r="N1077" s="1"/>
    </row>
    <row r="1078" spans="1:14" x14ac:dyDescent="0.2">
      <c r="A1078" s="1"/>
      <c r="B1078" s="1" t="s">
        <v>871</v>
      </c>
      <c r="C1078" s="1"/>
      <c r="D1078" s="55" t="s">
        <v>749</v>
      </c>
      <c r="E1078" s="1"/>
      <c r="F1078" s="1"/>
      <c r="G1078" s="1"/>
      <c r="H1078" s="1"/>
      <c r="I1078" s="1"/>
      <c r="J1078" s="1"/>
      <c r="K1078" s="1"/>
      <c r="L1078" s="3"/>
      <c r="M1078" s="1"/>
      <c r="N1078" s="1"/>
    </row>
    <row r="1079" spans="1:14" x14ac:dyDescent="0.2">
      <c r="A1079" s="1"/>
      <c r="B1079" s="1" t="s">
        <v>2449</v>
      </c>
      <c r="C1079" s="1"/>
      <c r="D1079" s="28" t="s">
        <v>873</v>
      </c>
      <c r="E1079" s="1"/>
      <c r="F1079" s="1"/>
      <c r="G1079" s="1"/>
      <c r="H1079" s="1"/>
      <c r="I1079" s="1"/>
      <c r="J1079" s="1"/>
      <c r="K1079" s="1"/>
      <c r="L1079" s="3"/>
      <c r="M1079" s="1"/>
      <c r="N1079" s="1"/>
    </row>
    <row r="1080" spans="1:14" x14ac:dyDescent="0.2">
      <c r="A1080" s="1"/>
      <c r="B1080" s="1" t="s">
        <v>874</v>
      </c>
      <c r="C1080" s="1"/>
      <c r="D1080" s="10" t="s">
        <v>995</v>
      </c>
      <c r="E1080" s="1"/>
      <c r="F1080" s="1"/>
      <c r="G1080" s="1"/>
      <c r="H1080" s="1"/>
      <c r="I1080" s="1"/>
      <c r="J1080" s="1"/>
      <c r="K1080" s="1"/>
      <c r="L1080" s="3"/>
      <c r="M1080" s="1"/>
      <c r="N1080" s="1"/>
    </row>
    <row r="1081" spans="1:14" x14ac:dyDescent="0.2">
      <c r="A1081" s="1"/>
      <c r="B1081" s="1" t="s">
        <v>875</v>
      </c>
      <c r="C1081" s="1"/>
      <c r="D1081" t="s">
        <v>995</v>
      </c>
      <c r="E1081" s="1"/>
      <c r="F1081" s="1"/>
      <c r="G1081" s="1"/>
      <c r="H1081" s="1"/>
      <c r="I1081" s="1"/>
      <c r="J1081" s="1"/>
      <c r="K1081" s="1"/>
      <c r="L1081" s="3"/>
      <c r="M1081" s="1"/>
      <c r="N1081" s="1"/>
    </row>
    <row r="1082" spans="1:14" x14ac:dyDescent="0.2">
      <c r="A1082" s="1"/>
      <c r="B1082" s="1"/>
      <c r="C1082" s="1"/>
      <c r="D1082" s="1"/>
      <c r="E1082" s="1"/>
      <c r="F1082" s="1"/>
      <c r="G1082" s="1"/>
      <c r="H1082" s="1"/>
      <c r="I1082" s="1"/>
      <c r="J1082" s="1"/>
      <c r="K1082" s="1"/>
      <c r="L1082" s="3"/>
      <c r="M1082" s="1"/>
      <c r="N1082" s="1"/>
    </row>
    <row r="1083" spans="1:14" x14ac:dyDescent="0.2">
      <c r="A1083" s="1"/>
      <c r="B1083" s="82" t="s">
        <v>1033</v>
      </c>
      <c r="C1083" s="318" t="s">
        <v>995</v>
      </c>
      <c r="D1083" s="1"/>
      <c r="E1083" s="1"/>
      <c r="F1083" s="1"/>
      <c r="G1083" s="1"/>
      <c r="H1083" s="1"/>
      <c r="I1083" s="1"/>
      <c r="J1083" s="73" t="str">
        <f>IF(C1083="x","Het juiste antwoord is:  7.","")</f>
        <v/>
      </c>
      <c r="K1083" s="1"/>
      <c r="L1083" s="3"/>
      <c r="M1083" s="1"/>
      <c r="N1083" s="1"/>
    </row>
    <row r="1084" spans="1:14" x14ac:dyDescent="0.2">
      <c r="A1084" s="1"/>
      <c r="B1084" s="3" t="str">
        <f>IF(C1083="x",J1083,"")</f>
        <v/>
      </c>
      <c r="C1084" s="1"/>
      <c r="D1084" s="1"/>
      <c r="E1084" s="1"/>
      <c r="F1084" s="1"/>
      <c r="G1084" s="1"/>
      <c r="H1084" s="1"/>
      <c r="I1084" s="1"/>
      <c r="J1084" s="1"/>
      <c r="K1084" s="1"/>
      <c r="L1084" s="3"/>
      <c r="M1084" s="1"/>
      <c r="N1084" s="1"/>
    </row>
    <row r="1085" spans="1:14" x14ac:dyDescent="0.2">
      <c r="A1085" s="14"/>
      <c r="B1085" s="14"/>
      <c r="C1085" s="14"/>
      <c r="D1085" s="180"/>
      <c r="E1085" s="14"/>
      <c r="F1085" s="14"/>
      <c r="G1085" s="14"/>
      <c r="H1085" s="14"/>
      <c r="I1085" s="14"/>
      <c r="J1085" s="1"/>
      <c r="K1085" s="1"/>
      <c r="L1085" s="3"/>
      <c r="M1085" s="1"/>
      <c r="N1085" s="1"/>
    </row>
    <row r="1086" spans="1:14" x14ac:dyDescent="0.2">
      <c r="A1086" s="1"/>
      <c r="B1086" s="1"/>
      <c r="C1086" s="1"/>
      <c r="D1086" s="1"/>
      <c r="E1086" s="1"/>
      <c r="F1086" s="1"/>
      <c r="G1086" s="1"/>
      <c r="H1086" s="1"/>
      <c r="I1086" s="1"/>
      <c r="J1086" s="1"/>
      <c r="K1086" s="1"/>
      <c r="L1086" s="3"/>
      <c r="M1086" s="1"/>
      <c r="N1086" s="1"/>
    </row>
    <row r="1087" spans="1:14" x14ac:dyDescent="0.2">
      <c r="A1087" s="67" t="s">
        <v>937</v>
      </c>
      <c r="B1087" s="1" t="s">
        <v>877</v>
      </c>
      <c r="C1087" s="1"/>
      <c r="D1087" s="1"/>
      <c r="E1087" s="1"/>
      <c r="F1087" s="1"/>
      <c r="G1087" s="1"/>
      <c r="H1087" s="1"/>
      <c r="I1087" s="1"/>
      <c r="J1087" s="1"/>
      <c r="K1087" s="1"/>
      <c r="L1087" s="3"/>
      <c r="M1087" s="1"/>
      <c r="N1087" s="1"/>
    </row>
    <row r="1088" spans="1:14" x14ac:dyDescent="0.2">
      <c r="A1088" s="1"/>
      <c r="B1088" s="67" t="s">
        <v>2721</v>
      </c>
      <c r="C1088" s="1"/>
      <c r="D1088" s="1"/>
      <c r="E1088" s="1"/>
      <c r="F1088" s="1"/>
      <c r="G1088" s="1"/>
      <c r="H1088" s="1"/>
      <c r="I1088" s="1"/>
      <c r="J1088" s="1"/>
      <c r="K1088" s="1"/>
      <c r="L1088" s="3"/>
      <c r="M1088" s="1"/>
      <c r="N1088" s="1"/>
    </row>
    <row r="1089" spans="1:14" x14ac:dyDescent="0.2">
      <c r="A1089" s="1"/>
      <c r="B1089" s="1"/>
      <c r="C1089" s="1"/>
      <c r="D1089" s="1"/>
      <c r="E1089" s="1"/>
      <c r="F1089" s="1"/>
      <c r="G1089" s="1"/>
      <c r="H1089" s="1"/>
      <c r="I1089" s="1"/>
      <c r="J1089" s="1"/>
      <c r="K1089" s="1"/>
      <c r="L1089" s="3"/>
      <c r="M1089" s="1"/>
      <c r="N1089" s="1"/>
    </row>
    <row r="1090" spans="1:14" x14ac:dyDescent="0.2">
      <c r="A1090" s="1"/>
      <c r="B1090" s="1"/>
      <c r="C1090" s="1"/>
      <c r="D1090" s="1"/>
      <c r="E1090" s="1"/>
      <c r="F1090" s="1"/>
      <c r="G1090" s="1"/>
      <c r="H1090" s="1"/>
      <c r="I1090" s="1"/>
      <c r="J1090" s="1"/>
      <c r="K1090" s="1"/>
      <c r="L1090" s="3"/>
      <c r="M1090" s="1"/>
      <c r="N1090" s="1"/>
    </row>
    <row r="1091" spans="1:14" x14ac:dyDescent="0.2">
      <c r="A1091" s="1"/>
      <c r="B1091" s="1"/>
      <c r="C1091" s="1"/>
      <c r="D1091" s="1"/>
      <c r="E1091" s="1"/>
      <c r="F1091" s="1"/>
      <c r="G1091" s="1"/>
      <c r="H1091" s="1"/>
      <c r="I1091" s="1"/>
      <c r="J1091" s="1"/>
      <c r="K1091" s="1"/>
      <c r="L1091" s="3"/>
      <c r="M1091" s="1"/>
      <c r="N1091" s="1"/>
    </row>
    <row r="1092" spans="1:14" x14ac:dyDescent="0.2">
      <c r="A1092" s="1"/>
      <c r="B1092" s="1"/>
      <c r="C1092" s="1"/>
      <c r="D1092" s="1"/>
      <c r="E1092" s="1"/>
      <c r="F1092" s="1"/>
      <c r="G1092" s="1"/>
      <c r="H1092" s="1"/>
      <c r="I1092" s="1"/>
      <c r="J1092" s="1"/>
      <c r="K1092" s="1"/>
      <c r="L1092" s="3"/>
      <c r="M1092" s="1"/>
      <c r="N1092" s="1"/>
    </row>
    <row r="1093" spans="1:14" x14ac:dyDescent="0.2">
      <c r="A1093" s="1"/>
      <c r="B1093" s="1"/>
      <c r="C1093" s="1"/>
      <c r="D1093" s="1"/>
      <c r="E1093" s="1"/>
      <c r="F1093" s="5" t="s">
        <v>878</v>
      </c>
      <c r="G1093" s="1"/>
      <c r="H1093" s="1"/>
      <c r="I1093" s="1"/>
      <c r="J1093" s="5" t="e">
        <f>SEARCH("PDCA",F1094)</f>
        <v>#VALUE!</v>
      </c>
      <c r="K1093" s="1"/>
      <c r="L1093" s="3"/>
      <c r="M1093" s="1"/>
      <c r="N1093" s="1"/>
    </row>
    <row r="1094" spans="1:14" x14ac:dyDescent="0.2">
      <c r="A1094" s="1"/>
      <c r="B1094" s="1"/>
      <c r="C1094" s="1"/>
      <c r="D1094" s="1"/>
      <c r="E1094" s="1"/>
      <c r="F1094" s="318"/>
      <c r="G1094" s="1"/>
      <c r="H1094" s="1"/>
      <c r="I1094" s="1"/>
      <c r="J1094" s="84">
        <f>ABS(ISERR(J1093))</f>
        <v>1</v>
      </c>
      <c r="K1094" s="5">
        <f>ABS(IF(J1094=0,"1","0"))</f>
        <v>0</v>
      </c>
      <c r="L1094" s="3">
        <v>1</v>
      </c>
      <c r="M1094" s="1" t="s">
        <v>879</v>
      </c>
      <c r="N1094" s="1"/>
    </row>
    <row r="1095" spans="1:14" x14ac:dyDescent="0.2">
      <c r="A1095" s="1"/>
      <c r="B1095" s="1"/>
      <c r="C1095" s="1"/>
      <c r="D1095" s="1"/>
      <c r="E1095" s="1"/>
      <c r="F1095" s="3" t="str">
        <f>IF(K1094=1,"JUIST","")</f>
        <v/>
      </c>
      <c r="G1095" s="1"/>
      <c r="H1095" s="1"/>
      <c r="I1095" s="1"/>
      <c r="J1095" s="1"/>
      <c r="K1095" s="1"/>
      <c r="L1095" s="3"/>
      <c r="M1095" s="1"/>
      <c r="N1095" s="1"/>
    </row>
    <row r="1096" spans="1:14" x14ac:dyDescent="0.2">
      <c r="A1096" s="1"/>
      <c r="B1096" s="1"/>
      <c r="C1096" s="1"/>
      <c r="D1096" s="1"/>
      <c r="E1096" s="1"/>
      <c r="F1096" s="1"/>
      <c r="G1096" s="1"/>
      <c r="H1096" s="1"/>
      <c r="I1096" s="1"/>
      <c r="J1096" s="1"/>
      <c r="K1096" s="1"/>
      <c r="L1096" s="3"/>
      <c r="M1096" s="1"/>
      <c r="N1096" s="1"/>
    </row>
    <row r="1097" spans="1:14" x14ac:dyDescent="0.2">
      <c r="A1097" s="1"/>
      <c r="B1097" s="1"/>
      <c r="C1097" s="1"/>
      <c r="D1097" s="1"/>
      <c r="E1097" s="1"/>
      <c r="F1097" s="1"/>
      <c r="G1097" s="1"/>
      <c r="H1097" s="1"/>
      <c r="I1097" s="1"/>
      <c r="J1097" s="1"/>
      <c r="K1097" s="1"/>
      <c r="L1097" s="3"/>
      <c r="M1097" s="1"/>
      <c r="N1097" s="1"/>
    </row>
    <row r="1098" spans="1:14" x14ac:dyDescent="0.2">
      <c r="A1098" s="1"/>
      <c r="B1098" s="1"/>
      <c r="C1098" s="1"/>
      <c r="D1098" s="1"/>
      <c r="E1098" s="1"/>
      <c r="F1098" s="1"/>
      <c r="G1098" s="1"/>
      <c r="H1098" s="1"/>
      <c r="I1098" s="1"/>
      <c r="J1098" s="1"/>
      <c r="K1098" s="1"/>
      <c r="L1098" s="3"/>
      <c r="M1098" s="1"/>
      <c r="N1098" s="1"/>
    </row>
    <row r="1099" spans="1:14" x14ac:dyDescent="0.2">
      <c r="A1099" s="1"/>
      <c r="B1099" s="1"/>
      <c r="C1099" s="1"/>
      <c r="D1099" s="1"/>
      <c r="E1099" s="1"/>
      <c r="F1099" s="1"/>
      <c r="G1099" s="1"/>
      <c r="H1099" s="1"/>
      <c r="I1099" s="1"/>
      <c r="J1099" s="1"/>
      <c r="K1099" s="1"/>
      <c r="L1099" s="3"/>
      <c r="M1099" s="1"/>
      <c r="N1099" s="1"/>
    </row>
    <row r="1100" spans="1:14" x14ac:dyDescent="0.2">
      <c r="A1100" s="1"/>
      <c r="B1100" s="1"/>
      <c r="C1100" s="1"/>
      <c r="D1100" s="1"/>
      <c r="E1100" s="1"/>
      <c r="F1100" s="1"/>
      <c r="G1100" s="1"/>
      <c r="H1100" s="1"/>
      <c r="I1100" s="1"/>
      <c r="J1100" s="1"/>
      <c r="K1100" s="1"/>
      <c r="L1100" s="3"/>
      <c r="M1100" s="1"/>
      <c r="N1100" s="1"/>
    </row>
    <row r="1101" spans="1:14" x14ac:dyDescent="0.2">
      <c r="A1101" s="1"/>
      <c r="B1101" s="1"/>
      <c r="C1101" s="1"/>
      <c r="D1101" s="1"/>
      <c r="E1101" s="1"/>
      <c r="F1101" s="1"/>
      <c r="G1101" s="1"/>
      <c r="H1101" s="1"/>
      <c r="I1101" s="1"/>
      <c r="J1101" s="1"/>
      <c r="K1101" s="1"/>
      <c r="L1101" s="3"/>
      <c r="M1101" s="1"/>
      <c r="N1101" s="1"/>
    </row>
    <row r="1102" spans="1:14" x14ac:dyDescent="0.2">
      <c r="A1102" s="1"/>
      <c r="B1102" s="1"/>
      <c r="C1102" s="1"/>
      <c r="D1102" s="1"/>
      <c r="E1102" s="1"/>
      <c r="F1102" s="1"/>
      <c r="G1102" s="1"/>
      <c r="H1102" s="1"/>
      <c r="I1102" s="1"/>
      <c r="J1102" s="1"/>
      <c r="K1102" s="1"/>
      <c r="L1102" s="3"/>
      <c r="M1102" s="1"/>
      <c r="N1102" s="1"/>
    </row>
    <row r="1103" spans="1:14" x14ac:dyDescent="0.2">
      <c r="A1103" s="1"/>
      <c r="B1103" s="1"/>
      <c r="C1103" s="1"/>
      <c r="D1103" s="1"/>
      <c r="E1103" s="1"/>
      <c r="F1103" s="1"/>
      <c r="G1103" s="1"/>
      <c r="H1103" s="1"/>
      <c r="I1103" s="1"/>
      <c r="J1103" s="1"/>
      <c r="K1103" s="1"/>
      <c r="L1103" s="3"/>
      <c r="M1103" s="1"/>
      <c r="N1103" s="1"/>
    </row>
    <row r="1104" spans="1:14" x14ac:dyDescent="0.2">
      <c r="A1104" s="1"/>
      <c r="B1104" s="1"/>
      <c r="C1104" s="1"/>
      <c r="D1104" s="1"/>
      <c r="E1104" s="1"/>
      <c r="F1104" s="67" t="s">
        <v>1886</v>
      </c>
      <c r="G1104" s="1"/>
      <c r="H1104" s="1"/>
      <c r="I1104" s="1"/>
      <c r="J1104" s="1"/>
      <c r="K1104" s="1"/>
      <c r="L1104" s="3"/>
      <c r="M1104" s="1"/>
      <c r="N1104" s="1"/>
    </row>
    <row r="1105" spans="1:14" x14ac:dyDescent="0.2">
      <c r="A1105" s="1"/>
      <c r="B1105" s="1"/>
      <c r="C1105" s="1"/>
      <c r="D1105" s="1"/>
      <c r="E1105" s="1"/>
      <c r="F1105" s="67" t="s">
        <v>1887</v>
      </c>
      <c r="G1105" s="1"/>
      <c r="H1105" s="1"/>
      <c r="I1105" s="1"/>
      <c r="J1105" s="67" t="s">
        <v>995</v>
      </c>
      <c r="K1105" s="1"/>
      <c r="L1105" s="3"/>
      <c r="M1105" s="67" t="s">
        <v>879</v>
      </c>
      <c r="N1105" s="1"/>
    </row>
    <row r="1106" spans="1:14" x14ac:dyDescent="0.2">
      <c r="A1106" s="1"/>
      <c r="B1106" s="1"/>
      <c r="C1106" s="1"/>
      <c r="D1106" s="1"/>
      <c r="E1106" s="1"/>
      <c r="F1106" s="318" t="s">
        <v>995</v>
      </c>
      <c r="G1106" s="1"/>
      <c r="H1106" s="1"/>
      <c r="I1106" s="1"/>
      <c r="J1106" s="1"/>
      <c r="K1106" s="1"/>
      <c r="L1106" s="3"/>
      <c r="M1106" s="67" t="s">
        <v>995</v>
      </c>
      <c r="N1106" s="1"/>
    </row>
    <row r="1107" spans="1:14" x14ac:dyDescent="0.2">
      <c r="A1107" s="1"/>
      <c r="B1107" s="1"/>
      <c r="C1107" s="1"/>
      <c r="D1107" s="1"/>
      <c r="E1107" s="1"/>
      <c r="F1107" s="3" t="str">
        <f>IF(F1106="x",M1105,"")</f>
        <v/>
      </c>
      <c r="G1107" s="1"/>
      <c r="H1107" s="1"/>
      <c r="I1107" s="1"/>
      <c r="J1107" s="1"/>
      <c r="K1107" s="1"/>
      <c r="L1107" s="3"/>
      <c r="M1107" s="1"/>
      <c r="N1107" s="1"/>
    </row>
    <row r="1108" spans="1:14" x14ac:dyDescent="0.2">
      <c r="A1108" s="1"/>
      <c r="B1108" s="1"/>
      <c r="C1108" s="1"/>
      <c r="D1108" s="1"/>
      <c r="E1108" s="1"/>
      <c r="F1108" s="1"/>
      <c r="G1108" s="1"/>
      <c r="H1108" s="1"/>
      <c r="I1108" s="1"/>
      <c r="J1108" s="1"/>
      <c r="K1108" s="1"/>
      <c r="L1108" s="3"/>
      <c r="M1108" s="1"/>
      <c r="N1108" s="1"/>
    </row>
    <row r="1109" spans="1:14" x14ac:dyDescent="0.2">
      <c r="A1109" s="1"/>
      <c r="B1109" s="1"/>
      <c r="C1109" s="1"/>
      <c r="D1109" s="1"/>
      <c r="E1109" s="1"/>
      <c r="F1109" s="1"/>
      <c r="G1109" s="1"/>
      <c r="H1109" s="1"/>
      <c r="I1109" s="1"/>
      <c r="J1109" s="1"/>
      <c r="K1109" s="1"/>
      <c r="L1109" s="3"/>
      <c r="M1109" s="1"/>
      <c r="N1109" s="1"/>
    </row>
    <row r="1110" spans="1:14" x14ac:dyDescent="0.2">
      <c r="A1110" s="1"/>
      <c r="B1110" s="1"/>
      <c r="C1110" s="1"/>
      <c r="D1110" s="1"/>
      <c r="E1110" s="1"/>
      <c r="F1110" s="1"/>
      <c r="G1110" s="1"/>
      <c r="H1110" s="1"/>
      <c r="I1110" s="1"/>
      <c r="J1110" s="1"/>
      <c r="K1110" s="1"/>
      <c r="L1110" s="3"/>
      <c r="M1110" s="1"/>
      <c r="N1110" s="1"/>
    </row>
    <row r="1111" spans="1:14" x14ac:dyDescent="0.2">
      <c r="A1111" s="1"/>
      <c r="B1111" s="1"/>
      <c r="C1111" s="1"/>
      <c r="D1111" s="1"/>
      <c r="E1111" s="1"/>
      <c r="F1111" s="1"/>
      <c r="G1111" s="1"/>
      <c r="H1111" s="1"/>
      <c r="I1111" s="1"/>
      <c r="J1111" s="1"/>
      <c r="K1111" s="1"/>
      <c r="L1111" s="3"/>
      <c r="M1111" s="1"/>
      <c r="N1111" s="1"/>
    </row>
    <row r="1112" spans="1:14" x14ac:dyDescent="0.2">
      <c r="A1112" s="1"/>
      <c r="B1112" s="1"/>
      <c r="C1112" s="1"/>
      <c r="D1112" s="1"/>
      <c r="E1112" s="1"/>
      <c r="F1112" s="1"/>
      <c r="G1112" s="1"/>
      <c r="H1112" s="1"/>
      <c r="I1112" s="1"/>
      <c r="J1112" s="1"/>
      <c r="K1112" s="1"/>
      <c r="L1112" s="3"/>
      <c r="M1112" s="1"/>
      <c r="N1112" s="1"/>
    </row>
    <row r="1113" spans="1:14" x14ac:dyDescent="0.2">
      <c r="A1113" s="1"/>
      <c r="B1113" s="1"/>
      <c r="C1113" s="1"/>
      <c r="D1113" s="1"/>
      <c r="E1113" s="1"/>
      <c r="F1113" s="1"/>
      <c r="G1113" s="1"/>
      <c r="H1113" s="1"/>
      <c r="I1113" s="1"/>
      <c r="J1113" s="1"/>
      <c r="K1113" s="1"/>
      <c r="L1113" s="3"/>
      <c r="M1113" s="1"/>
      <c r="N1113" s="1"/>
    </row>
    <row r="1114" spans="1:14" x14ac:dyDescent="0.2">
      <c r="A1114" s="1"/>
      <c r="B1114" s="1"/>
      <c r="C1114" s="1"/>
      <c r="D1114" s="1"/>
      <c r="E1114" s="1"/>
      <c r="F1114" s="1"/>
      <c r="G1114" s="1"/>
      <c r="H1114" s="1"/>
      <c r="I1114" s="1"/>
      <c r="J1114" s="1"/>
      <c r="K1114" s="1"/>
      <c r="L1114" s="3"/>
      <c r="M1114" s="1"/>
      <c r="N1114" s="1"/>
    </row>
    <row r="1115" spans="1:14" x14ac:dyDescent="0.2">
      <c r="A1115" s="14"/>
      <c r="B1115" s="14"/>
      <c r="C1115" s="14"/>
      <c r="D1115" s="180"/>
      <c r="E1115" s="14"/>
      <c r="F1115" s="14"/>
      <c r="G1115" s="14"/>
      <c r="H1115" s="14"/>
      <c r="I1115" s="14"/>
      <c r="J1115" s="1"/>
      <c r="K1115" s="1"/>
      <c r="L1115" s="3"/>
      <c r="M1115" s="1"/>
      <c r="N1115" s="1"/>
    </row>
    <row r="1116" spans="1:14" x14ac:dyDescent="0.2">
      <c r="A1116" s="1"/>
      <c r="B1116" s="1"/>
      <c r="C1116" s="1"/>
      <c r="D1116" s="1"/>
      <c r="E1116" s="1"/>
      <c r="F1116" s="1"/>
      <c r="G1116" s="1"/>
      <c r="H1116" s="1"/>
      <c r="I1116" s="1"/>
      <c r="J1116" s="1"/>
      <c r="K1116" s="1"/>
      <c r="L1116" s="3"/>
      <c r="M1116" s="1"/>
      <c r="N1116" s="1"/>
    </row>
    <row r="1117" spans="1:14" ht="26.25" thickBot="1" x14ac:dyDescent="0.25">
      <c r="A1117" s="533" t="s">
        <v>939</v>
      </c>
      <c r="B1117" s="103" t="s">
        <v>2783</v>
      </c>
      <c r="C1117" s="1"/>
      <c r="D1117" s="102" t="s">
        <v>446</v>
      </c>
      <c r="E1117" s="102" t="s">
        <v>1623</v>
      </c>
      <c r="F1117" s="526" t="s">
        <v>2119</v>
      </c>
      <c r="G1117" s="527" t="s">
        <v>2120</v>
      </c>
      <c r="H1117" s="1"/>
      <c r="I1117" s="1"/>
      <c r="J1117" s="5" t="str">
        <f>IF(D1118="x","FOUT","")</f>
        <v/>
      </c>
      <c r="K1117" s="5">
        <f>ABS(IF(J1117="JUIST","1","0"))</f>
        <v>0</v>
      </c>
      <c r="L1117" s="3" t="s">
        <v>995</v>
      </c>
      <c r="M1117" s="1"/>
      <c r="N1117" s="1"/>
    </row>
    <row r="1118" spans="1:14" ht="13.5" thickTop="1" x14ac:dyDescent="0.2">
      <c r="A1118" s="1"/>
      <c r="B1118" s="61" t="s">
        <v>2450</v>
      </c>
      <c r="C1118" s="1"/>
      <c r="D1118" s="425" t="s">
        <v>995</v>
      </c>
      <c r="E1118" s="425" t="s">
        <v>995</v>
      </c>
      <c r="F1118" s="425" t="s">
        <v>995</v>
      </c>
      <c r="G1118" s="425" t="s">
        <v>995</v>
      </c>
      <c r="H1118" s="1"/>
      <c r="I1118" s="1"/>
      <c r="J1118" s="5" t="str">
        <f>IF(E1118="x","JUIST","")</f>
        <v/>
      </c>
      <c r="K1118" s="5">
        <f>ABS(IF(J1118="JUIST","1","0"))</f>
        <v>0</v>
      </c>
      <c r="L1118" s="3">
        <v>1</v>
      </c>
      <c r="M1118" s="1"/>
      <c r="N1118" s="1"/>
    </row>
    <row r="1119" spans="1:14" x14ac:dyDescent="0.2">
      <c r="A1119" s="1"/>
      <c r="B1119" s="67" t="s">
        <v>2758</v>
      </c>
      <c r="D1119" s="3" t="s">
        <v>475</v>
      </c>
      <c r="E1119" s="3" t="s">
        <v>476</v>
      </c>
      <c r="F1119" s="3" t="s">
        <v>477</v>
      </c>
      <c r="G1119" s="3" t="s">
        <v>478</v>
      </c>
      <c r="H1119" s="1"/>
      <c r="I1119" s="1"/>
      <c r="J1119" s="5" t="str">
        <f>IF(F1118="x","FOUT","")</f>
        <v/>
      </c>
      <c r="K1119" s="5">
        <f>ABS(IF(J1119="JUIST","1","0"))</f>
        <v>0</v>
      </c>
      <c r="L1119" s="3" t="s">
        <v>995</v>
      </c>
      <c r="M1119" s="1"/>
      <c r="N1119" s="1"/>
    </row>
    <row r="1120" spans="1:14" x14ac:dyDescent="0.2">
      <c r="A1120" s="1"/>
      <c r="C1120" s="1"/>
      <c r="D1120" s="1"/>
      <c r="E1120" s="1"/>
      <c r="F1120" s="1"/>
      <c r="G1120" s="1"/>
      <c r="H1120" s="1"/>
      <c r="I1120" s="1"/>
      <c r="J1120" s="5" t="str">
        <f>IF(G1118="x","FOUT","")</f>
        <v/>
      </c>
      <c r="K1120" s="5">
        <f>ABS(IF(J1120="JUIST","1","0"))</f>
        <v>0</v>
      </c>
      <c r="L1120" s="3" t="s">
        <v>995</v>
      </c>
      <c r="M1120" s="1"/>
      <c r="N1120" s="1"/>
    </row>
    <row r="1121" spans="1:14" x14ac:dyDescent="0.2">
      <c r="A1121" s="1"/>
      <c r="B1121" s="82" t="s">
        <v>1033</v>
      </c>
      <c r="C1121" s="318" t="s">
        <v>995</v>
      </c>
      <c r="D1121" s="3"/>
      <c r="E1121" s="3"/>
      <c r="F1121" s="3"/>
      <c r="G1121" s="1"/>
      <c r="H1121" s="1"/>
      <c r="I1121" s="1"/>
      <c r="J1121" s="73" t="str">
        <f>IF(C1121="x","Het juiste antwoord is:  B.","")</f>
        <v/>
      </c>
      <c r="K1121" s="1"/>
      <c r="L1121" s="3"/>
      <c r="M1121" s="1"/>
      <c r="N1121" s="1"/>
    </row>
    <row r="1122" spans="1:14" x14ac:dyDescent="0.2">
      <c r="A1122" s="1"/>
      <c r="B1122" s="3" t="str">
        <f>IF(C1121="x",J1121,"")</f>
        <v/>
      </c>
      <c r="C1122" s="1"/>
      <c r="D1122" s="1"/>
      <c r="E1122" s="1"/>
      <c r="G1122" s="1"/>
      <c r="H1122" s="1"/>
      <c r="I1122" s="1"/>
      <c r="K1122" s="1"/>
      <c r="M1122" s="1"/>
      <c r="N1122" s="1"/>
    </row>
    <row r="1123" spans="1:14" x14ac:dyDescent="0.2">
      <c r="A1123" s="14"/>
      <c r="B1123" s="14"/>
      <c r="C1123" s="14"/>
      <c r="D1123" s="180"/>
      <c r="E1123" s="14"/>
      <c r="F1123" s="14"/>
      <c r="G1123" s="14"/>
      <c r="H1123" s="14"/>
      <c r="I1123" s="14"/>
      <c r="J1123" s="1"/>
      <c r="K1123" s="1"/>
      <c r="L1123" s="3"/>
      <c r="M1123" s="1"/>
      <c r="N1123" s="1"/>
    </row>
    <row r="1124" spans="1:14" x14ac:dyDescent="0.2">
      <c r="A1124" s="1"/>
      <c r="B1124" s="1"/>
      <c r="C1124" s="1"/>
      <c r="D1124" s="1"/>
      <c r="E1124" s="1"/>
      <c r="F1124" s="1"/>
      <c r="G1124" s="1"/>
      <c r="H1124" s="1"/>
      <c r="I1124" s="1"/>
      <c r="J1124" s="1"/>
      <c r="K1124" s="1"/>
      <c r="L1124" s="3"/>
      <c r="M1124" s="1"/>
      <c r="N1124" s="1"/>
    </row>
    <row r="1125" spans="1:14" x14ac:dyDescent="0.2">
      <c r="A1125" s="67" t="s">
        <v>1544</v>
      </c>
      <c r="B1125" s="361" t="s">
        <v>917</v>
      </c>
      <c r="C1125" s="1"/>
      <c r="D1125" s="1"/>
      <c r="E1125" s="1"/>
      <c r="F1125" s="1"/>
      <c r="G1125" s="1"/>
      <c r="H1125" s="1"/>
      <c r="I1125" s="1"/>
      <c r="J1125" s="1"/>
      <c r="K1125" s="1"/>
      <c r="L1125" s="3"/>
      <c r="M1125" s="1"/>
      <c r="N1125" s="1"/>
    </row>
    <row r="1126" spans="1:14" x14ac:dyDescent="0.2">
      <c r="A1126" s="1"/>
      <c r="B1126" s="1" t="s">
        <v>918</v>
      </c>
      <c r="C1126" s="1"/>
      <c r="D1126" s="1"/>
      <c r="E1126" s="1"/>
      <c r="F1126" s="1"/>
      <c r="G1126" s="1"/>
      <c r="H1126" s="1"/>
      <c r="I1126" s="1"/>
      <c r="J1126" s="1"/>
      <c r="K1126" s="1"/>
      <c r="L1126" s="3"/>
      <c r="M1126" s="1"/>
      <c r="N1126" s="1"/>
    </row>
    <row r="1127" spans="1:14" x14ac:dyDescent="0.2">
      <c r="A1127" s="1"/>
      <c r="B1127" s="1" t="s">
        <v>919</v>
      </c>
      <c r="C1127" s="1"/>
      <c r="D1127" s="1"/>
      <c r="E1127" s="1"/>
      <c r="F1127" s="1"/>
      <c r="G1127" s="1"/>
      <c r="H1127" s="360"/>
      <c r="I1127" s="1"/>
      <c r="J1127" s="1"/>
      <c r="K1127" s="1"/>
      <c r="L1127" s="3"/>
      <c r="M1127" s="1"/>
      <c r="N1127" s="1"/>
    </row>
    <row r="1128" spans="1:14" x14ac:dyDescent="0.2">
      <c r="A1128" s="1"/>
      <c r="B1128" s="1" t="s">
        <v>920</v>
      </c>
      <c r="C1128" s="1"/>
      <c r="D1128" s="1"/>
      <c r="E1128" s="1"/>
      <c r="F1128" s="1"/>
      <c r="G1128" s="1"/>
      <c r="H1128" s="1"/>
      <c r="I1128" s="1"/>
      <c r="J1128" s="1"/>
      <c r="K1128" s="1"/>
      <c r="L1128" s="3"/>
      <c r="M1128" s="1"/>
      <c r="N1128" s="1"/>
    </row>
    <row r="1129" spans="1:14" x14ac:dyDescent="0.2">
      <c r="A1129" s="1"/>
      <c r="B1129" s="1" t="s">
        <v>995</v>
      </c>
      <c r="C1129" s="1"/>
      <c r="D1129" s="1"/>
      <c r="E1129" s="1"/>
      <c r="F1129" s="1"/>
      <c r="G1129" s="1"/>
      <c r="H1129" s="1"/>
      <c r="I1129" s="1"/>
      <c r="J1129" s="1"/>
      <c r="K1129" s="1"/>
      <c r="L1129" s="3"/>
      <c r="M1129" s="1"/>
      <c r="N1129" s="1"/>
    </row>
    <row r="1130" spans="1:14" x14ac:dyDescent="0.2">
      <c r="A1130" s="54" t="s">
        <v>999</v>
      </c>
      <c r="B1130" s="54" t="s">
        <v>923</v>
      </c>
      <c r="C1130" s="7" t="s">
        <v>995</v>
      </c>
      <c r="D1130" s="3" t="str">
        <f>IF(C1143="x",M1130,"")</f>
        <v/>
      </c>
      <c r="E1130" s="1"/>
      <c r="F1130" s="1"/>
      <c r="G1130" s="1"/>
      <c r="H1130" s="1"/>
      <c r="I1130" s="1"/>
      <c r="J1130" s="5" t="e">
        <f>SEARCH("poortwachter",C1130)</f>
        <v>#VALUE!</v>
      </c>
      <c r="K1130" s="1"/>
      <c r="L1130" s="3"/>
      <c r="M1130" s="1" t="s">
        <v>921</v>
      </c>
      <c r="N1130" s="1"/>
    </row>
    <row r="1131" spans="1:14" x14ac:dyDescent="0.2">
      <c r="A1131" s="54"/>
      <c r="B1131" s="483" t="s">
        <v>922</v>
      </c>
      <c r="C1131" s="407"/>
      <c r="D1131" s="3"/>
      <c r="E1131" s="1"/>
      <c r="F1131" s="1"/>
      <c r="G1131" s="1"/>
      <c r="H1131" s="1"/>
      <c r="I1131" s="1"/>
      <c r="J1131" s="84">
        <f>ABS(ISERR(J1130))</f>
        <v>1</v>
      </c>
      <c r="K1131" s="5">
        <f>ABS(IF(J1131=0,"1","0"))</f>
        <v>0</v>
      </c>
      <c r="L1131" s="3">
        <v>1</v>
      </c>
      <c r="M1131" s="1"/>
      <c r="N1131" s="1"/>
    </row>
    <row r="1132" spans="1:14" x14ac:dyDescent="0.2">
      <c r="A1132" s="55"/>
      <c r="B1132" s="64" t="s">
        <v>2451</v>
      </c>
      <c r="C1132" s="407"/>
      <c r="D1132" s="3"/>
      <c r="E1132" s="1"/>
      <c r="F1132" s="1"/>
      <c r="G1132" s="1"/>
      <c r="H1132" s="1"/>
      <c r="I1132" s="1"/>
      <c r="J1132" s="1"/>
      <c r="K1132" s="1"/>
      <c r="L1132" s="3"/>
      <c r="M1132" s="1"/>
      <c r="N1132" s="1"/>
    </row>
    <row r="1133" spans="1:14" x14ac:dyDescent="0.2">
      <c r="A1133" s="55" t="s">
        <v>1000</v>
      </c>
      <c r="B1133" s="64" t="s">
        <v>2452</v>
      </c>
      <c r="C1133" s="7" t="s">
        <v>995</v>
      </c>
      <c r="D1133" s="3" t="str">
        <f>IF(C1143="x",M1133,"")</f>
        <v/>
      </c>
      <c r="E1133" s="1"/>
      <c r="F1133" s="1"/>
      <c r="G1133" s="1"/>
      <c r="H1133" s="1"/>
      <c r="I1133" s="1"/>
      <c r="J1133" s="5" t="e">
        <f>SEARCH("SMT",C1133)</f>
        <v>#VALUE!</v>
      </c>
      <c r="K1133" s="1"/>
      <c r="L1133" s="3"/>
      <c r="M1133" s="1" t="s">
        <v>924</v>
      </c>
      <c r="N1133" s="1"/>
    </row>
    <row r="1134" spans="1:14" x14ac:dyDescent="0.2">
      <c r="A1134" s="54"/>
      <c r="B1134" s="54" t="s">
        <v>925</v>
      </c>
      <c r="C1134" s="407"/>
      <c r="D1134" s="3"/>
      <c r="E1134" s="1"/>
      <c r="F1134" s="360" t="s">
        <v>916</v>
      </c>
      <c r="G1134" s="1"/>
      <c r="H1134" s="1"/>
      <c r="I1134" s="1"/>
      <c r="J1134" s="84">
        <f>ABS(ISERR(J1133))</f>
        <v>1</v>
      </c>
      <c r="K1134" s="5">
        <f>ABS(IF(J1134=0,"1","0"))</f>
        <v>0</v>
      </c>
      <c r="L1134" s="3">
        <v>1</v>
      </c>
      <c r="M1134" s="1"/>
      <c r="N1134" s="1"/>
    </row>
    <row r="1135" spans="1:14" x14ac:dyDescent="0.2">
      <c r="A1135" s="55"/>
      <c r="B1135" s="55" t="s">
        <v>926</v>
      </c>
      <c r="C1135" s="407"/>
      <c r="D1135" s="3"/>
      <c r="E1135" s="1"/>
      <c r="F1135" s="1"/>
      <c r="G1135" s="1"/>
      <c r="H1135" s="1"/>
      <c r="I1135" s="1"/>
      <c r="J1135" s="1"/>
      <c r="K1135" s="1"/>
      <c r="L1135" s="3"/>
      <c r="M1135" s="1"/>
      <c r="N1135" s="1"/>
    </row>
    <row r="1136" spans="1:14" x14ac:dyDescent="0.2">
      <c r="A1136" s="55" t="s">
        <v>1001</v>
      </c>
      <c r="B1136" s="55" t="s">
        <v>2453</v>
      </c>
      <c r="C1136" s="7" t="s">
        <v>995</v>
      </c>
      <c r="D1136" s="3" t="str">
        <f>IF(C1143="x",M1136,"")</f>
        <v/>
      </c>
      <c r="E1136" s="1"/>
      <c r="F1136" s="1"/>
      <c r="G1136" s="1"/>
      <c r="H1136" s="1"/>
      <c r="I1136" s="1"/>
      <c r="J1136" s="5" t="e">
        <f>SEARCH("UWV",C1136)</f>
        <v>#VALUE!</v>
      </c>
      <c r="K1136" s="1"/>
      <c r="L1136" s="3"/>
      <c r="M1136" s="1" t="s">
        <v>927</v>
      </c>
      <c r="N1136" s="1"/>
    </row>
    <row r="1137" spans="1:14" x14ac:dyDescent="0.2">
      <c r="A1137" s="54"/>
      <c r="B1137" s="54" t="s">
        <v>2454</v>
      </c>
      <c r="C1137" s="407"/>
      <c r="D1137" s="3"/>
      <c r="E1137" s="1"/>
      <c r="F1137" s="1"/>
      <c r="G1137" s="1"/>
      <c r="H1137" s="1"/>
      <c r="I1137" s="1"/>
      <c r="J1137" s="84">
        <f>ABS(ISERR(J1136))</f>
        <v>1</v>
      </c>
      <c r="K1137" s="5">
        <f>ABS(IF(J1137=0,"1","0"))</f>
        <v>0</v>
      </c>
      <c r="L1137" s="3">
        <v>1</v>
      </c>
      <c r="M1137" s="1"/>
      <c r="N1137" s="1"/>
    </row>
    <row r="1138" spans="1:14" x14ac:dyDescent="0.2">
      <c r="A1138" s="55"/>
      <c r="B1138" s="55" t="s">
        <v>928</v>
      </c>
      <c r="C1138" s="407"/>
      <c r="D1138" s="3"/>
      <c r="E1138" s="1"/>
      <c r="F1138" s="1"/>
      <c r="G1138" s="1"/>
      <c r="H1138" s="1"/>
      <c r="I1138" s="1"/>
      <c r="J1138" s="1"/>
      <c r="K1138" s="1"/>
      <c r="L1138" s="3"/>
      <c r="M1138" s="1"/>
      <c r="N1138" s="1"/>
    </row>
    <row r="1139" spans="1:14" x14ac:dyDescent="0.2">
      <c r="A1139" s="55" t="s">
        <v>1002</v>
      </c>
      <c r="B1139" s="362" t="s">
        <v>929</v>
      </c>
      <c r="C1139" s="7" t="s">
        <v>995</v>
      </c>
      <c r="D1139" s="3" t="str">
        <f>IF(C1143="x",M1139,"")</f>
        <v/>
      </c>
      <c r="E1139" s="1"/>
      <c r="F1139" s="1"/>
      <c r="G1139" s="1"/>
      <c r="H1139" s="1"/>
      <c r="I1139" s="1"/>
      <c r="J1139" s="5" t="e">
        <f>SEARCH("WIA",C1139)</f>
        <v>#VALUE!</v>
      </c>
      <c r="K1139" s="1"/>
      <c r="L1139" s="3"/>
      <c r="M1139" s="1" t="s">
        <v>930</v>
      </c>
      <c r="N1139" s="1"/>
    </row>
    <row r="1140" spans="1:14" x14ac:dyDescent="0.2">
      <c r="A1140" s="54"/>
      <c r="B1140" s="483" t="s">
        <v>931</v>
      </c>
      <c r="C1140" s="407"/>
      <c r="D1140" s="3"/>
      <c r="E1140" s="1"/>
      <c r="F1140" s="1"/>
      <c r="G1140" s="1"/>
      <c r="H1140" s="1"/>
      <c r="I1140" s="1"/>
      <c r="J1140" s="84">
        <f>ABS(ISERR(J1139))</f>
        <v>1</v>
      </c>
      <c r="K1140" s="5">
        <f>ABS(IF(J1140=0,"1","0"))</f>
        <v>0</v>
      </c>
      <c r="L1140" s="3">
        <v>1</v>
      </c>
      <c r="M1140" s="1"/>
      <c r="N1140" s="1"/>
    </row>
    <row r="1141" spans="1:14" x14ac:dyDescent="0.2">
      <c r="A1141" s="28" t="s">
        <v>863</v>
      </c>
      <c r="B1141" s="484" t="s">
        <v>2455</v>
      </c>
      <c r="C1141" s="7" t="s">
        <v>995</v>
      </c>
      <c r="D1141" s="3" t="str">
        <f>IF(C1143="x",M1141,"")</f>
        <v/>
      </c>
      <c r="E1141" s="1"/>
      <c r="F1141" s="1"/>
      <c r="G1141" s="1"/>
      <c r="H1141" s="1"/>
      <c r="I1141" s="1"/>
      <c r="J1141" s="5" t="e">
        <f>SEARCH("ARBO",C1141)</f>
        <v>#VALUE!</v>
      </c>
      <c r="K1141" s="1"/>
      <c r="L1141" s="3"/>
      <c r="M1141" s="1" t="s">
        <v>932</v>
      </c>
      <c r="N1141" s="1"/>
    </row>
    <row r="1142" spans="1:14" x14ac:dyDescent="0.2">
      <c r="A1142" s="1"/>
      <c r="B1142" s="1"/>
      <c r="D1142" s="1"/>
      <c r="E1142" s="1"/>
      <c r="F1142" s="1"/>
      <c r="G1142" s="1"/>
      <c r="H1142" s="1"/>
      <c r="I1142" s="1"/>
      <c r="J1142" s="84">
        <f>ABS(ISERR(J1141))</f>
        <v>1</v>
      </c>
      <c r="K1142" s="5">
        <f>ABS(IF(J1142=0,"1","0"))</f>
        <v>0</v>
      </c>
      <c r="L1142" s="3">
        <v>1</v>
      </c>
      <c r="M1142" s="1"/>
      <c r="N1142" s="1"/>
    </row>
    <row r="1143" spans="1:14" x14ac:dyDescent="0.2">
      <c r="A1143" s="1"/>
      <c r="B1143" s="82" t="s">
        <v>1033</v>
      </c>
      <c r="C1143" s="318" t="s">
        <v>995</v>
      </c>
      <c r="D1143" s="3"/>
      <c r="E1143" s="3"/>
      <c r="F1143" s="3"/>
      <c r="G1143" s="1"/>
      <c r="H1143" s="1"/>
      <c r="I1143" s="1"/>
      <c r="J1143" s="363" t="s">
        <v>995</v>
      </c>
      <c r="K1143" s="1"/>
      <c r="L1143" s="3"/>
      <c r="M1143" s="1"/>
      <c r="N1143" s="1"/>
    </row>
    <row r="1144" spans="1:14" x14ac:dyDescent="0.2">
      <c r="A1144" s="1"/>
      <c r="B1144" s="364"/>
      <c r="C1144" s="367"/>
      <c r="D1144" s="3"/>
      <c r="E1144" s="3"/>
      <c r="F1144" s="3"/>
      <c r="G1144" s="1"/>
      <c r="H1144" s="1"/>
      <c r="I1144" s="1"/>
      <c r="J1144" s="120"/>
      <c r="K1144" s="1"/>
      <c r="L1144" s="3"/>
      <c r="M1144" s="1"/>
      <c r="N1144" s="1"/>
    </row>
    <row r="1145" spans="1:14" x14ac:dyDescent="0.2">
      <c r="A1145" s="14"/>
      <c r="B1145" s="14"/>
      <c r="C1145" s="14"/>
      <c r="D1145" s="180"/>
      <c r="E1145" s="14"/>
      <c r="F1145" s="14"/>
      <c r="G1145" s="14"/>
      <c r="H1145" s="14"/>
      <c r="I1145" s="14"/>
      <c r="J1145" s="120"/>
      <c r="K1145" s="1"/>
      <c r="L1145" s="3"/>
      <c r="M1145" s="1"/>
      <c r="N1145" s="1"/>
    </row>
    <row r="1146" spans="1:14" x14ac:dyDescent="0.2">
      <c r="A1146" s="365"/>
      <c r="B1146" s="366"/>
      <c r="C1146" s="367"/>
      <c r="D1146" s="368"/>
      <c r="E1146" s="368"/>
      <c r="F1146" s="368"/>
      <c r="G1146" s="365"/>
      <c r="H1146" s="365"/>
      <c r="I1146" s="365"/>
      <c r="J1146" s="369"/>
      <c r="K1146" s="365"/>
      <c r="L1146" s="368"/>
      <c r="M1146" s="1"/>
      <c r="N1146" s="1"/>
    </row>
    <row r="1147" spans="1:14" x14ac:dyDescent="0.2">
      <c r="A1147" s="473" t="s">
        <v>1557</v>
      </c>
      <c r="B1147" s="534" t="s">
        <v>1545</v>
      </c>
      <c r="C1147" s="367"/>
      <c r="D1147" s="368"/>
      <c r="E1147" s="368"/>
      <c r="F1147" s="368"/>
      <c r="G1147" s="365"/>
      <c r="H1147" s="365"/>
      <c r="I1147" s="365"/>
      <c r="J1147" s="369"/>
      <c r="K1147" s="365"/>
      <c r="L1147" s="368"/>
      <c r="M1147" s="1"/>
      <c r="N1147" s="1"/>
    </row>
    <row r="1148" spans="1:14" x14ac:dyDescent="0.2">
      <c r="A1148" s="365"/>
      <c r="B1148" s="370" t="s">
        <v>1547</v>
      </c>
      <c r="C1148" s="367"/>
      <c r="D1148" s="368"/>
      <c r="E1148" s="368"/>
      <c r="F1148" s="368"/>
      <c r="G1148" s="365"/>
      <c r="H1148" s="365"/>
      <c r="I1148" s="365"/>
      <c r="J1148" s="369"/>
      <c r="K1148" s="365"/>
      <c r="L1148" s="368"/>
      <c r="M1148" s="1"/>
      <c r="N1148" s="1"/>
    </row>
    <row r="1149" spans="1:14" x14ac:dyDescent="0.2">
      <c r="A1149" s="365"/>
      <c r="B1149" s="370"/>
      <c r="C1149" s="367"/>
      <c r="D1149" s="368"/>
      <c r="E1149" s="368"/>
      <c r="F1149" s="368"/>
      <c r="G1149" s="365"/>
      <c r="H1149" s="365"/>
      <c r="I1149" s="365"/>
      <c r="J1149" s="369"/>
      <c r="K1149" s="365"/>
      <c r="L1149" s="368"/>
      <c r="M1149" s="1"/>
      <c r="N1149" s="1"/>
    </row>
    <row r="1150" spans="1:14" x14ac:dyDescent="0.2">
      <c r="A1150" s="27" t="s">
        <v>999</v>
      </c>
      <c r="B1150" s="371" t="s">
        <v>1546</v>
      </c>
      <c r="C1150" s="10" t="s">
        <v>995</v>
      </c>
      <c r="D1150" s="368" t="str">
        <f>IF(C1156="x",M1150,"")</f>
        <v/>
      </c>
      <c r="F1150" s="368"/>
      <c r="G1150" s="365"/>
      <c r="H1150" s="365"/>
      <c r="I1150" s="365"/>
      <c r="J1150" s="5" t="str">
        <f>IF(C1150="x","FOUT","")</f>
        <v/>
      </c>
      <c r="K1150" s="5">
        <f>ABS(IF(J1150="JUIST","1","0"))</f>
        <v>0</v>
      </c>
      <c r="L1150" s="3" t="s">
        <v>995</v>
      </c>
      <c r="M1150" s="1" t="s">
        <v>1555</v>
      </c>
      <c r="N1150" s="1"/>
    </row>
    <row r="1151" spans="1:14" x14ac:dyDescent="0.2">
      <c r="A1151" s="27" t="s">
        <v>1000</v>
      </c>
      <c r="B1151" s="371" t="s">
        <v>1548</v>
      </c>
      <c r="C1151" s="10" t="s">
        <v>995</v>
      </c>
      <c r="D1151" s="368" t="str">
        <f>IF(C1156="x",M1151,"")</f>
        <v/>
      </c>
      <c r="E1151" s="368"/>
      <c r="F1151" s="368"/>
      <c r="G1151" s="365"/>
      <c r="H1151" s="365"/>
      <c r="I1151" s="365"/>
      <c r="J1151" s="5" t="str">
        <f>IF(C1151="x","FOUT","")</f>
        <v/>
      </c>
      <c r="K1151" s="5">
        <f>ABS(IF(J1151="JUIST","1","0"))</f>
        <v>0</v>
      </c>
      <c r="L1151" s="3" t="s">
        <v>995</v>
      </c>
      <c r="M1151" s="1" t="s">
        <v>1556</v>
      </c>
      <c r="N1151" s="1"/>
    </row>
    <row r="1152" spans="1:14" x14ac:dyDescent="0.2">
      <c r="A1152" s="27" t="s">
        <v>1001</v>
      </c>
      <c r="B1152" s="371" t="s">
        <v>1549</v>
      </c>
      <c r="C1152" s="10" t="s">
        <v>995</v>
      </c>
      <c r="D1152" s="368" t="str">
        <f>IF(C1156="x",M1152,"")</f>
        <v/>
      </c>
      <c r="E1152" s="368"/>
      <c r="F1152" s="368"/>
      <c r="G1152" s="365"/>
      <c r="H1152" s="365"/>
      <c r="I1152" s="365"/>
      <c r="J1152" s="5" t="str">
        <f>IF(C1152="x","JUIST","")</f>
        <v/>
      </c>
      <c r="K1152" s="5">
        <f>ABS(IF(J1152="JUIST","1","0"))</f>
        <v>0</v>
      </c>
      <c r="L1152" s="3">
        <v>1</v>
      </c>
      <c r="M1152" s="1" t="s">
        <v>1552</v>
      </c>
      <c r="N1152" s="1"/>
    </row>
    <row r="1153" spans="1:14" x14ac:dyDescent="0.2">
      <c r="A1153" s="27" t="s">
        <v>1002</v>
      </c>
      <c r="B1153" s="371" t="s">
        <v>1550</v>
      </c>
      <c r="C1153" s="10" t="s">
        <v>995</v>
      </c>
      <c r="D1153" s="368" t="str">
        <f>IF(C1156="x",M1153,"")</f>
        <v/>
      </c>
      <c r="E1153" s="368"/>
      <c r="F1153" s="368"/>
      <c r="G1153" s="365"/>
      <c r="H1153" s="365"/>
      <c r="I1153" s="365"/>
      <c r="J1153" s="5" t="str">
        <f>IF(C1153="x","FOUT","")</f>
        <v/>
      </c>
      <c r="K1153" s="5">
        <f>ABS(IF(J1153="JUIST","1","0"))</f>
        <v>0</v>
      </c>
      <c r="L1153" s="3" t="s">
        <v>995</v>
      </c>
      <c r="M1153" s="1" t="s">
        <v>1553</v>
      </c>
      <c r="N1153" s="1"/>
    </row>
    <row r="1154" spans="1:14" x14ac:dyDescent="0.2">
      <c r="A1154" s="27" t="s">
        <v>863</v>
      </c>
      <c r="B1154" s="371" t="s">
        <v>1551</v>
      </c>
      <c r="C1154" s="10" t="s">
        <v>995</v>
      </c>
      <c r="D1154" s="368" t="str">
        <f>IF(C1156="x",M1154,"")</f>
        <v/>
      </c>
      <c r="E1154" s="368"/>
      <c r="F1154" s="368"/>
      <c r="G1154" s="365"/>
      <c r="H1154" s="365"/>
      <c r="I1154" s="365"/>
      <c r="J1154" s="5" t="str">
        <f>IF(C1154="x","FOUT","")</f>
        <v/>
      </c>
      <c r="K1154" s="5">
        <f>ABS(IF(J1154="JUIST","1","0"))</f>
        <v>0</v>
      </c>
      <c r="L1154" s="3" t="s">
        <v>995</v>
      </c>
      <c r="M1154" s="1" t="s">
        <v>1554</v>
      </c>
      <c r="N1154" s="1"/>
    </row>
    <row r="1155" spans="1:14" x14ac:dyDescent="0.2">
      <c r="A1155" s="365"/>
      <c r="B1155" s="370"/>
      <c r="C1155" s="367"/>
      <c r="D1155" s="368"/>
      <c r="E1155" s="368"/>
      <c r="F1155" s="368"/>
      <c r="G1155" s="365"/>
      <c r="H1155" s="365"/>
      <c r="I1155" s="365"/>
      <c r="J1155" s="369"/>
      <c r="K1155" s="365"/>
      <c r="L1155" s="368"/>
      <c r="M1155" s="1"/>
      <c r="N1155" s="1"/>
    </row>
    <row r="1156" spans="1:14" x14ac:dyDescent="0.2">
      <c r="A1156" s="365"/>
      <c r="B1156" s="82" t="s">
        <v>1033</v>
      </c>
      <c r="C1156" s="318" t="s">
        <v>995</v>
      </c>
      <c r="D1156" s="368"/>
      <c r="E1156" s="368"/>
      <c r="F1156" s="368"/>
      <c r="G1156" s="365"/>
      <c r="H1156" s="365"/>
      <c r="I1156" s="365"/>
      <c r="J1156" s="369"/>
      <c r="K1156" s="365"/>
      <c r="L1156" s="368"/>
      <c r="M1156" s="1"/>
      <c r="N1156" s="1"/>
    </row>
    <row r="1157" spans="1:14" x14ac:dyDescent="0.2">
      <c r="A1157" s="365"/>
      <c r="B1157" s="364"/>
      <c r="C1157" s="467"/>
      <c r="D1157" s="368"/>
      <c r="E1157" s="368"/>
      <c r="F1157" s="368"/>
      <c r="G1157" s="365"/>
      <c r="H1157" s="365"/>
      <c r="I1157" s="365"/>
      <c r="J1157" s="369"/>
      <c r="K1157" s="365"/>
      <c r="L1157" s="368"/>
      <c r="M1157" s="1"/>
      <c r="N1157" s="1"/>
    </row>
    <row r="1158" spans="1:14" x14ac:dyDescent="0.2">
      <c r="A1158" s="14"/>
      <c r="B1158" s="14"/>
      <c r="C1158" s="14"/>
      <c r="D1158" s="180"/>
      <c r="E1158" s="14"/>
      <c r="F1158" s="14"/>
      <c r="G1158" s="14"/>
      <c r="H1158" s="14"/>
      <c r="I1158" s="14"/>
      <c r="J1158" s="369"/>
      <c r="K1158" s="365"/>
      <c r="L1158" s="368"/>
      <c r="M1158" s="1"/>
      <c r="N1158" s="1"/>
    </row>
    <row r="1159" spans="1:14" x14ac:dyDescent="0.2">
      <c r="A1159" s="365"/>
      <c r="B1159" s="364"/>
      <c r="C1159" s="467"/>
      <c r="D1159" s="368"/>
      <c r="E1159" s="368"/>
      <c r="F1159" s="368"/>
      <c r="G1159" s="365"/>
      <c r="H1159" s="365"/>
      <c r="I1159" s="365"/>
      <c r="J1159" s="369"/>
      <c r="K1159" s="365"/>
      <c r="L1159" s="368"/>
      <c r="M1159" s="1"/>
      <c r="N1159" s="1"/>
    </row>
    <row r="1160" spans="1:14" ht="26.25" thickBot="1" x14ac:dyDescent="0.25">
      <c r="A1160" s="535" t="s">
        <v>1563</v>
      </c>
      <c r="B1160" s="103" t="s">
        <v>2759</v>
      </c>
      <c r="C1160" s="1"/>
      <c r="D1160" s="102" t="s">
        <v>446</v>
      </c>
      <c r="E1160" s="102" t="s">
        <v>1623</v>
      </c>
      <c r="F1160" s="526" t="s">
        <v>2119</v>
      </c>
      <c r="G1160" s="527" t="s">
        <v>2120</v>
      </c>
      <c r="H1160" s="1"/>
      <c r="I1160" s="1"/>
      <c r="J1160" s="5" t="str">
        <f>IF(D1161="x","FOUT","")</f>
        <v/>
      </c>
      <c r="K1160" s="5">
        <f>ABS(IF(J1160="JUIST","1","0"))</f>
        <v>0</v>
      </c>
      <c r="L1160" s="3" t="s">
        <v>995</v>
      </c>
      <c r="M1160" s="1"/>
      <c r="N1160" s="1"/>
    </row>
    <row r="1161" spans="1:14" ht="13.5" thickTop="1" x14ac:dyDescent="0.2">
      <c r="A1161" s="365"/>
      <c r="B1161" s="61" t="s">
        <v>2456</v>
      </c>
      <c r="C1161" s="1"/>
      <c r="D1161" s="425" t="s">
        <v>995</v>
      </c>
      <c r="E1161" s="425" t="s">
        <v>995</v>
      </c>
      <c r="F1161" s="425" t="s">
        <v>995</v>
      </c>
      <c r="G1161" s="425" t="s">
        <v>995</v>
      </c>
      <c r="H1161" s="1"/>
      <c r="I1161" s="1"/>
      <c r="J1161" s="5" t="str">
        <f>IF(E1161="x","JUIST","")</f>
        <v/>
      </c>
      <c r="K1161" s="5">
        <f>ABS(IF(J1161="JUIST","1","0"))</f>
        <v>0</v>
      </c>
      <c r="L1161" s="3">
        <v>1</v>
      </c>
      <c r="M1161" s="1"/>
      <c r="N1161" s="1"/>
    </row>
    <row r="1162" spans="1:14" x14ac:dyDescent="0.2">
      <c r="A1162" s="365"/>
      <c r="B1162" s="67" t="s">
        <v>2760</v>
      </c>
      <c r="D1162" s="3" t="s">
        <v>475</v>
      </c>
      <c r="E1162" s="3" t="s">
        <v>476</v>
      </c>
      <c r="F1162" s="3" t="s">
        <v>477</v>
      </c>
      <c r="G1162" s="3" t="s">
        <v>478</v>
      </c>
      <c r="H1162" s="1"/>
      <c r="I1162" s="1"/>
      <c r="J1162" s="5" t="str">
        <f>IF(F1161="x","FOUT","")</f>
        <v/>
      </c>
      <c r="K1162" s="5">
        <f>ABS(IF(J1162="JUIST","1","0"))</f>
        <v>0</v>
      </c>
      <c r="L1162" s="3" t="s">
        <v>995</v>
      </c>
      <c r="M1162" s="1"/>
      <c r="N1162" s="1"/>
    </row>
    <row r="1163" spans="1:14" x14ac:dyDescent="0.2">
      <c r="A1163" s="365"/>
      <c r="C1163" s="1"/>
      <c r="D1163" s="1"/>
      <c r="E1163" s="1"/>
      <c r="F1163" s="1"/>
      <c r="G1163" s="1"/>
      <c r="H1163" s="1"/>
      <c r="I1163" s="1"/>
      <c r="J1163" s="5" t="str">
        <f>IF(G1161="x","FOUT","")</f>
        <v/>
      </c>
      <c r="K1163" s="5">
        <f>ABS(IF(J1163="JUIST","1","0"))</f>
        <v>0</v>
      </c>
      <c r="L1163" s="3" t="s">
        <v>995</v>
      </c>
      <c r="M1163" s="1"/>
      <c r="N1163" s="1"/>
    </row>
    <row r="1164" spans="1:14" x14ac:dyDescent="0.2">
      <c r="A1164" s="365"/>
      <c r="B1164" s="82" t="s">
        <v>1033</v>
      </c>
      <c r="C1164" s="318" t="s">
        <v>995</v>
      </c>
      <c r="D1164" s="3"/>
      <c r="E1164" s="3"/>
      <c r="F1164" s="3"/>
      <c r="G1164" s="1"/>
      <c r="H1164" s="1"/>
      <c r="I1164" s="1"/>
      <c r="J1164" s="73" t="str">
        <f>IF(C1164="x","Het juiste antwoord is:  B.","")</f>
        <v/>
      </c>
      <c r="K1164" s="1"/>
      <c r="L1164" s="3"/>
      <c r="M1164" s="1"/>
      <c r="N1164" s="1"/>
    </row>
    <row r="1165" spans="1:14" x14ac:dyDescent="0.2">
      <c r="A1165" s="365"/>
      <c r="B1165" s="364">
        <f>IF(C1164="x",J1164,)</f>
        <v>0</v>
      </c>
      <c r="C1165" s="467"/>
      <c r="D1165" s="368"/>
      <c r="E1165" s="368"/>
      <c r="F1165" s="368"/>
      <c r="G1165" s="365"/>
      <c r="H1165" s="365"/>
      <c r="I1165" s="365"/>
      <c r="J1165" s="369"/>
      <c r="K1165" s="365"/>
      <c r="L1165" s="368"/>
      <c r="M1165" s="1"/>
      <c r="N1165" s="1"/>
    </row>
    <row r="1166" spans="1:14" x14ac:dyDescent="0.2">
      <c r="A1166" s="14"/>
      <c r="B1166" s="14"/>
      <c r="C1166" s="14"/>
      <c r="D1166" s="180"/>
      <c r="E1166" s="14"/>
      <c r="F1166" s="14"/>
      <c r="G1166" s="14"/>
      <c r="H1166" s="14"/>
      <c r="I1166" s="14"/>
      <c r="J1166" s="1"/>
      <c r="K1166" s="1"/>
      <c r="L1166" s="3"/>
      <c r="M1166" s="1"/>
      <c r="N1166" s="1"/>
    </row>
    <row r="1167" spans="1:14" x14ac:dyDescent="0.2">
      <c r="A1167" s="1"/>
      <c r="B1167" s="1"/>
      <c r="C1167" s="1"/>
      <c r="D1167" s="1"/>
      <c r="E1167" s="1"/>
      <c r="F1167" s="1"/>
      <c r="G1167" s="1"/>
      <c r="H1167" s="1"/>
      <c r="I1167" s="1"/>
      <c r="J1167" s="1"/>
      <c r="K1167" s="1"/>
      <c r="L1167" s="3"/>
      <c r="M1167" s="1"/>
      <c r="N1167" s="1"/>
    </row>
    <row r="1168" spans="1:14" ht="26.25" customHeight="1" thickBot="1" x14ac:dyDescent="0.25">
      <c r="A1168" s="533" t="s">
        <v>1569</v>
      </c>
      <c r="B1168" s="103" t="s">
        <v>2785</v>
      </c>
      <c r="C1168" s="1"/>
      <c r="D1168" s="102" t="s">
        <v>446</v>
      </c>
      <c r="E1168" s="102" t="s">
        <v>1623</v>
      </c>
      <c r="F1168" s="526" t="s">
        <v>2119</v>
      </c>
      <c r="G1168" s="527" t="s">
        <v>2120</v>
      </c>
      <c r="H1168" s="1"/>
      <c r="I1168" s="1"/>
      <c r="J1168" s="5" t="str">
        <f>IF(D1169="x","FOUT","")</f>
        <v/>
      </c>
      <c r="K1168" s="5">
        <f>ABS(IF(J1168="JUIST","1","0"))</f>
        <v>0</v>
      </c>
      <c r="L1168" s="3" t="s">
        <v>995</v>
      </c>
      <c r="M1168" s="1"/>
      <c r="N1168" s="1"/>
    </row>
    <row r="1169" spans="1:14" ht="13.5" thickTop="1" x14ac:dyDescent="0.2">
      <c r="A1169" s="1"/>
      <c r="B1169" s="67" t="s">
        <v>2784</v>
      </c>
      <c r="C1169" s="1"/>
      <c r="D1169" s="425" t="s">
        <v>995</v>
      </c>
      <c r="E1169" s="425" t="s">
        <v>995</v>
      </c>
      <c r="F1169" s="425" t="s">
        <v>995</v>
      </c>
      <c r="G1169" s="425" t="s">
        <v>995</v>
      </c>
      <c r="H1169" s="1"/>
      <c r="I1169" s="1"/>
      <c r="J1169" s="5" t="str">
        <f>IF(E1169="x","FOUT","")</f>
        <v/>
      </c>
      <c r="K1169" s="5">
        <f>ABS(IF(J1169="JUIST","1","0"))</f>
        <v>0</v>
      </c>
      <c r="L1169" s="3" t="s">
        <v>995</v>
      </c>
      <c r="M1169" s="1"/>
      <c r="N1169" s="1"/>
    </row>
    <row r="1170" spans="1:14" x14ac:dyDescent="0.2">
      <c r="A1170" s="1"/>
      <c r="B1170" s="61" t="s">
        <v>2457</v>
      </c>
      <c r="C1170" s="1"/>
      <c r="D1170" s="3" t="s">
        <v>475</v>
      </c>
      <c r="E1170" s="3" t="s">
        <v>476</v>
      </c>
      <c r="F1170" s="3" t="s">
        <v>477</v>
      </c>
      <c r="G1170" s="3" t="s">
        <v>478</v>
      </c>
      <c r="H1170" s="1"/>
      <c r="I1170" s="1"/>
      <c r="J1170" s="5" t="str">
        <f>IF(F1169="x","JUIST","")</f>
        <v/>
      </c>
      <c r="K1170" s="5">
        <f>ABS(IF(J1170="JUIST","1","0"))</f>
        <v>0</v>
      </c>
      <c r="L1170" s="3">
        <v>1</v>
      </c>
      <c r="M1170" s="1" t="s">
        <v>995</v>
      </c>
      <c r="N1170" s="1"/>
    </row>
    <row r="1171" spans="1:14" x14ac:dyDescent="0.2">
      <c r="A1171" s="1"/>
      <c r="B1171" s="67" t="s">
        <v>2761</v>
      </c>
      <c r="D1171" s="1"/>
      <c r="E1171" s="1"/>
      <c r="F1171" s="1"/>
      <c r="G1171" s="1"/>
      <c r="H1171" s="1"/>
      <c r="I1171" s="1"/>
      <c r="J1171" s="5" t="str">
        <f>IF(G1169="x","FOUT","")</f>
        <v/>
      </c>
      <c r="K1171" s="5">
        <f>ABS(IF(J1171="JUIST","1","0"))</f>
        <v>0</v>
      </c>
      <c r="L1171" s="3" t="s">
        <v>995</v>
      </c>
      <c r="M1171" s="1"/>
      <c r="N1171" s="1"/>
    </row>
    <row r="1172" spans="1:14" x14ac:dyDescent="0.2">
      <c r="A1172" s="1"/>
      <c r="C1172" s="1"/>
      <c r="D1172" s="3"/>
      <c r="E1172" s="3"/>
      <c r="F1172" s="3"/>
      <c r="G1172" s="1"/>
      <c r="H1172" s="1"/>
      <c r="I1172" s="1"/>
      <c r="J1172" s="73" t="str">
        <f>IF(C1173="x","Het juiste antwoord is:  C.","")</f>
        <v/>
      </c>
      <c r="K1172" s="1"/>
      <c r="L1172" s="3"/>
      <c r="M1172" s="1"/>
      <c r="N1172" s="1"/>
    </row>
    <row r="1173" spans="1:14" x14ac:dyDescent="0.2">
      <c r="A1173" s="1"/>
      <c r="B1173" s="82" t="s">
        <v>1033</v>
      </c>
      <c r="C1173" s="318" t="s">
        <v>995</v>
      </c>
      <c r="D1173" s="1"/>
      <c r="E1173" s="1"/>
      <c r="F1173" s="1"/>
      <c r="G1173" s="1"/>
      <c r="H1173" s="1"/>
      <c r="I1173" s="1"/>
      <c r="J1173" s="1"/>
      <c r="K1173" s="1"/>
      <c r="L1173" s="3"/>
      <c r="M1173" s="1"/>
      <c r="N1173" s="1"/>
    </row>
    <row r="1174" spans="1:14" x14ac:dyDescent="0.2">
      <c r="A1174" s="1"/>
      <c r="B1174" s="3" t="str">
        <f>IF(C1173="x",J1172,"")</f>
        <v/>
      </c>
      <c r="C1174" s="1"/>
      <c r="D1174" s="1"/>
      <c r="E1174" s="1"/>
      <c r="F1174" s="1"/>
      <c r="G1174" s="1"/>
      <c r="H1174" s="1"/>
      <c r="I1174" s="1"/>
      <c r="J1174" s="1"/>
      <c r="K1174" s="1"/>
      <c r="L1174" s="3"/>
      <c r="M1174" s="1"/>
      <c r="N1174" s="1"/>
    </row>
    <row r="1175" spans="1:14" x14ac:dyDescent="0.2">
      <c r="A1175" s="14"/>
      <c r="B1175" s="14"/>
      <c r="C1175" s="14"/>
      <c r="D1175" s="180"/>
      <c r="E1175" s="14"/>
      <c r="F1175" s="14"/>
      <c r="G1175" s="14"/>
      <c r="H1175" s="14"/>
      <c r="I1175" s="14"/>
      <c r="J1175" s="1"/>
      <c r="K1175" s="1"/>
      <c r="L1175" s="3"/>
      <c r="M1175" s="1"/>
      <c r="N1175" s="1"/>
    </row>
    <row r="1176" spans="1:14" x14ac:dyDescent="0.2">
      <c r="A1176" s="1"/>
      <c r="B1176" s="1"/>
      <c r="C1176" s="1"/>
      <c r="D1176" s="1"/>
      <c r="E1176" s="1"/>
      <c r="F1176" s="1"/>
      <c r="G1176" s="1"/>
      <c r="H1176" s="1"/>
      <c r="I1176" s="1"/>
      <c r="J1176" s="1"/>
      <c r="K1176" s="1"/>
      <c r="L1176" s="3"/>
      <c r="M1176" s="1"/>
      <c r="N1176" s="1"/>
    </row>
    <row r="1177" spans="1:14" ht="39" thickBot="1" x14ac:dyDescent="0.25">
      <c r="A1177" s="533" t="s">
        <v>1573</v>
      </c>
      <c r="B1177" s="103" t="s">
        <v>2458</v>
      </c>
      <c r="C1177" s="1"/>
      <c r="D1177" s="102" t="s">
        <v>446</v>
      </c>
      <c r="E1177" s="102" t="s">
        <v>1623</v>
      </c>
      <c r="F1177" s="526" t="s">
        <v>2119</v>
      </c>
      <c r="G1177" s="527" t="s">
        <v>2120</v>
      </c>
      <c r="H1177" s="1"/>
      <c r="I1177" s="1"/>
      <c r="J1177" s="5" t="str">
        <f>IF(D1178="x","FOUT","")</f>
        <v/>
      </c>
      <c r="K1177" s="5">
        <f>ABS(IF(J1177="JUIST","1","0"))</f>
        <v>0</v>
      </c>
      <c r="L1177" s="3" t="s">
        <v>995</v>
      </c>
      <c r="M1177" s="1"/>
      <c r="N1177" s="1"/>
    </row>
    <row r="1178" spans="1:14" ht="13.5" thickTop="1" x14ac:dyDescent="0.2">
      <c r="A1178" s="1"/>
      <c r="B1178" s="67"/>
      <c r="C1178" s="1"/>
      <c r="D1178" s="318" t="s">
        <v>995</v>
      </c>
      <c r="E1178" s="318" t="s">
        <v>995</v>
      </c>
      <c r="F1178" s="318" t="s">
        <v>995</v>
      </c>
      <c r="G1178" s="318" t="s">
        <v>995</v>
      </c>
      <c r="H1178" s="1"/>
      <c r="I1178" s="1"/>
      <c r="J1178" s="5" t="str">
        <f>IF(E1178="x","FOUT","")</f>
        <v/>
      </c>
      <c r="K1178" s="5">
        <f>ABS(IF(J1178="JUIST","1","0"))</f>
        <v>0</v>
      </c>
      <c r="L1178" s="3" t="s">
        <v>995</v>
      </c>
      <c r="M1178" s="1"/>
      <c r="N1178" s="1"/>
    </row>
    <row r="1179" spans="1:14" x14ac:dyDescent="0.2">
      <c r="A1179" s="1"/>
      <c r="B1179" s="61" t="s">
        <v>2459</v>
      </c>
      <c r="C1179" s="1"/>
      <c r="D1179" s="3" t="s">
        <v>475</v>
      </c>
      <c r="E1179" s="3" t="s">
        <v>476</v>
      </c>
      <c r="F1179" s="3" t="s">
        <v>477</v>
      </c>
      <c r="G1179" s="3" t="s">
        <v>478</v>
      </c>
      <c r="H1179" s="1"/>
      <c r="I1179" s="1"/>
      <c r="J1179" s="5" t="str">
        <f>IF(F1178="x","FOUT","")</f>
        <v/>
      </c>
      <c r="K1179" s="5">
        <f>ABS(IF(J1179="JUIST","1","0"))</f>
        <v>0</v>
      </c>
      <c r="L1179" s="3" t="s">
        <v>995</v>
      </c>
      <c r="M1179" s="1"/>
      <c r="N1179" s="1"/>
    </row>
    <row r="1180" spans="1:14" x14ac:dyDescent="0.2">
      <c r="A1180" s="1"/>
      <c r="B1180" s="1" t="s">
        <v>934</v>
      </c>
      <c r="C1180" s="1"/>
      <c r="D1180" s="1"/>
      <c r="E1180" s="1"/>
      <c r="F1180" s="1"/>
      <c r="G1180" s="1"/>
      <c r="H1180" s="1"/>
      <c r="I1180" s="1"/>
      <c r="J1180" s="5" t="str">
        <f>IF(G1178="x","JUIST","")</f>
        <v/>
      </c>
      <c r="K1180" s="5">
        <f>ABS(IF(J1180="JUIST","1","0"))</f>
        <v>0</v>
      </c>
      <c r="L1180" s="3">
        <v>1</v>
      </c>
      <c r="M1180" s="1"/>
      <c r="N1180" s="1"/>
    </row>
    <row r="1181" spans="1:14" x14ac:dyDescent="0.2">
      <c r="A1181" s="1"/>
      <c r="B1181" s="67" t="s">
        <v>935</v>
      </c>
      <c r="D1181" s="1"/>
      <c r="E1181" s="1"/>
      <c r="F1181" s="1"/>
      <c r="G1181" s="1"/>
      <c r="H1181" s="1"/>
      <c r="I1181" s="1"/>
      <c r="J1181" s="155"/>
      <c r="K1181" s="79"/>
      <c r="L1181" s="3"/>
      <c r="M1181" s="1"/>
      <c r="N1181" s="1"/>
    </row>
    <row r="1182" spans="1:14" x14ac:dyDescent="0.2">
      <c r="A1182" s="1"/>
      <c r="C1182" s="1"/>
      <c r="D1182" s="3"/>
      <c r="E1182" s="3"/>
      <c r="F1182" s="3"/>
      <c r="G1182" s="1"/>
      <c r="H1182" s="1"/>
      <c r="I1182" s="1"/>
      <c r="J1182" s="73" t="str">
        <f>IF(C1183="x","Dit zijn valstrik-stellingen. Prestatie-indicatoren moeten betrekking hebben op de eigen, interne organisatie!","")</f>
        <v/>
      </c>
      <c r="K1182" s="1"/>
      <c r="L1182" s="3"/>
      <c r="M1182" s="1"/>
      <c r="N1182" s="1"/>
    </row>
    <row r="1183" spans="1:14" x14ac:dyDescent="0.2">
      <c r="A1183" s="1"/>
      <c r="B1183" s="82" t="s">
        <v>1033</v>
      </c>
      <c r="C1183" s="318" t="s">
        <v>995</v>
      </c>
      <c r="D1183" s="1"/>
      <c r="E1183" s="1"/>
      <c r="F1183" s="1"/>
      <c r="G1183" s="1"/>
      <c r="H1183" s="1"/>
      <c r="I1183" s="1"/>
      <c r="J1183" s="1"/>
      <c r="K1183" s="1"/>
      <c r="L1183" s="3"/>
      <c r="M1183" s="1"/>
      <c r="N1183" s="1"/>
    </row>
    <row r="1184" spans="1:14" x14ac:dyDescent="0.2">
      <c r="A1184" s="1"/>
      <c r="B1184" s="17" t="str">
        <f>IF(C1183="x",J1182,"")</f>
        <v/>
      </c>
      <c r="C1184" s="1"/>
      <c r="D1184" s="1"/>
      <c r="E1184" s="1"/>
      <c r="F1184" s="1"/>
      <c r="G1184" s="1"/>
      <c r="H1184" s="1"/>
      <c r="I1184" s="1"/>
      <c r="J1184" s="1"/>
      <c r="K1184" s="1"/>
      <c r="L1184" s="3"/>
      <c r="M1184" s="1"/>
      <c r="N1184" s="1"/>
    </row>
    <row r="1185" spans="1:14" x14ac:dyDescent="0.2">
      <c r="A1185" s="14"/>
      <c r="B1185" s="14"/>
      <c r="C1185" s="14"/>
      <c r="D1185" s="180"/>
      <c r="E1185" s="14"/>
      <c r="F1185" s="14"/>
      <c r="G1185" s="14"/>
      <c r="H1185" s="14"/>
      <c r="I1185" s="14"/>
      <c r="J1185" s="1"/>
      <c r="K1185" s="1"/>
      <c r="L1185" s="3"/>
      <c r="M1185" s="1"/>
      <c r="N1185" s="1"/>
    </row>
    <row r="1186" spans="1:14" x14ac:dyDescent="0.2">
      <c r="A1186" s="1"/>
      <c r="B1186" s="1"/>
      <c r="C1186" s="1"/>
      <c r="D1186" s="1"/>
      <c r="E1186" s="1"/>
      <c r="F1186" s="1"/>
      <c r="G1186" s="1"/>
      <c r="H1186" s="1"/>
      <c r="I1186" s="1"/>
      <c r="J1186" s="1"/>
      <c r="K1186" s="1"/>
      <c r="L1186" s="3"/>
      <c r="M1186" s="1"/>
      <c r="N1186" s="1"/>
    </row>
    <row r="1187" spans="1:14" ht="39" thickBot="1" x14ac:dyDescent="0.25">
      <c r="A1187" s="533" t="s">
        <v>1592</v>
      </c>
      <c r="B1187" s="103" t="s">
        <v>2460</v>
      </c>
      <c r="C1187" s="1"/>
      <c r="D1187" s="102" t="s">
        <v>446</v>
      </c>
      <c r="E1187" s="102" t="s">
        <v>1623</v>
      </c>
      <c r="F1187" s="526" t="s">
        <v>2119</v>
      </c>
      <c r="G1187" s="527" t="s">
        <v>2120</v>
      </c>
      <c r="H1187" s="1"/>
      <c r="I1187" s="1"/>
      <c r="J1187" s="5" t="str">
        <f>IF(D1188="x","FOUT","")</f>
        <v/>
      </c>
      <c r="K1187" s="5">
        <f>ABS(IF(J1187="JUIST","1","0"))</f>
        <v>0</v>
      </c>
      <c r="L1187" s="3" t="s">
        <v>995</v>
      </c>
      <c r="M1187" s="1"/>
      <c r="N1187" s="1"/>
    </row>
    <row r="1188" spans="1:14" ht="13.5" thickTop="1" x14ac:dyDescent="0.2">
      <c r="A1188" s="1"/>
      <c r="B1188" s="67" t="s">
        <v>2762</v>
      </c>
      <c r="C1188" s="1"/>
      <c r="D1188" s="318" t="s">
        <v>995</v>
      </c>
      <c r="E1188" s="318" t="s">
        <v>995</v>
      </c>
      <c r="F1188" s="318" t="s">
        <v>995</v>
      </c>
      <c r="G1188" s="318" t="s">
        <v>995</v>
      </c>
      <c r="H1188" s="1"/>
      <c r="I1188" s="1"/>
      <c r="J1188" s="5" t="str">
        <f>IF(E1188="x","FOUT","")</f>
        <v/>
      </c>
      <c r="K1188" s="5">
        <f>ABS(IF(J1188="JUIST","1","0"))</f>
        <v>0</v>
      </c>
      <c r="L1188" s="3" t="s">
        <v>995</v>
      </c>
      <c r="M1188" s="1"/>
      <c r="N1188" s="1"/>
    </row>
    <row r="1189" spans="1:14" x14ac:dyDescent="0.2">
      <c r="A1189" s="1"/>
      <c r="B1189" s="61" t="s">
        <v>2459</v>
      </c>
      <c r="C1189" s="1"/>
      <c r="D1189" s="3" t="s">
        <v>475</v>
      </c>
      <c r="E1189" s="3" t="s">
        <v>476</v>
      </c>
      <c r="F1189" s="3" t="s">
        <v>477</v>
      </c>
      <c r="G1189" s="3" t="s">
        <v>478</v>
      </c>
      <c r="H1189" s="1"/>
      <c r="I1189" s="1"/>
      <c r="J1189" s="5" t="str">
        <f>IF(F1188="x","JUIST","")</f>
        <v/>
      </c>
      <c r="K1189" s="5">
        <f>ABS(IF(J1189="JUIST","1","0"))</f>
        <v>0</v>
      </c>
      <c r="L1189" s="3">
        <v>1</v>
      </c>
      <c r="M1189" s="1"/>
      <c r="N1189" s="1"/>
    </row>
    <row r="1190" spans="1:14" x14ac:dyDescent="0.2">
      <c r="A1190" s="1"/>
      <c r="B1190" s="67" t="s">
        <v>938</v>
      </c>
      <c r="C1190" s="1"/>
      <c r="D1190" s="1"/>
      <c r="E1190" s="1"/>
      <c r="F1190" s="1"/>
      <c r="G1190" s="1"/>
      <c r="H1190" s="1"/>
      <c r="I1190" s="1"/>
      <c r="J1190" s="5" t="str">
        <f>IF(G1188="x","FOUT","")</f>
        <v/>
      </c>
      <c r="K1190" s="5">
        <f>ABS(IF(J1190="JUIST","1","0"))</f>
        <v>0</v>
      </c>
      <c r="L1190" s="3" t="s">
        <v>995</v>
      </c>
      <c r="M1190" s="1"/>
      <c r="N1190" s="1"/>
    </row>
    <row r="1191" spans="1:14" x14ac:dyDescent="0.2">
      <c r="A1191" s="1"/>
      <c r="B1191" s="67" t="s">
        <v>2763</v>
      </c>
      <c r="D1191" s="1"/>
      <c r="E1191" s="1"/>
      <c r="F1191" s="1"/>
      <c r="G1191" s="1"/>
      <c r="H1191" s="1"/>
      <c r="I1191" s="1"/>
      <c r="J1191" s="155"/>
      <c r="K1191" s="79"/>
      <c r="L1191" s="3"/>
      <c r="M1191" s="1"/>
      <c r="N1191" s="1"/>
    </row>
    <row r="1192" spans="1:14" x14ac:dyDescent="0.2">
      <c r="A1192" s="1"/>
      <c r="C1192" s="67" t="s">
        <v>995</v>
      </c>
      <c r="D1192" s="3"/>
      <c r="E1192" s="3"/>
      <c r="F1192" s="3"/>
      <c r="G1192" s="1"/>
      <c r="H1192" s="1"/>
      <c r="I1192" s="1"/>
      <c r="J1192" s="73" t="str">
        <f>IF(C1193="x","Het juiste antwoord is:  C.","")</f>
        <v/>
      </c>
      <c r="K1192" s="1"/>
      <c r="L1192" s="3"/>
      <c r="M1192" s="1"/>
      <c r="N1192" s="1"/>
    </row>
    <row r="1193" spans="1:14" x14ac:dyDescent="0.2">
      <c r="A1193" s="1"/>
      <c r="B1193" s="82" t="s">
        <v>1033</v>
      </c>
      <c r="C1193" s="318" t="s">
        <v>995</v>
      </c>
      <c r="D1193" s="1"/>
      <c r="E1193" s="1"/>
      <c r="F1193" s="1"/>
      <c r="G1193" s="1"/>
      <c r="H1193" s="1"/>
      <c r="I1193" s="1"/>
      <c r="J1193" s="1"/>
      <c r="K1193" s="1"/>
      <c r="L1193" s="3"/>
      <c r="M1193" s="1"/>
      <c r="N1193" s="1"/>
    </row>
    <row r="1194" spans="1:14" x14ac:dyDescent="0.2">
      <c r="A1194" s="1"/>
      <c r="B1194" s="17" t="str">
        <f>IF(C1193="x",J1192,"")</f>
        <v/>
      </c>
      <c r="C1194" s="1"/>
      <c r="D1194" s="1"/>
      <c r="E1194" s="1"/>
      <c r="F1194" s="1"/>
      <c r="G1194" s="1"/>
      <c r="H1194" s="1"/>
      <c r="I1194" s="1"/>
      <c r="J1194" s="1"/>
      <c r="K1194" s="1"/>
      <c r="L1194" s="3"/>
      <c r="M1194" s="1"/>
      <c r="N1194" s="1"/>
    </row>
    <row r="1195" spans="1:14" x14ac:dyDescent="0.2">
      <c r="A1195" s="14"/>
      <c r="B1195" s="14"/>
      <c r="C1195" s="14"/>
      <c r="D1195" s="180"/>
      <c r="E1195" s="14"/>
      <c r="F1195" s="14"/>
      <c r="G1195" s="14"/>
      <c r="H1195" s="14"/>
      <c r="I1195" s="14"/>
      <c r="J1195" s="1"/>
      <c r="K1195" s="1"/>
      <c r="L1195" s="3"/>
      <c r="M1195" s="1"/>
      <c r="N1195" s="1"/>
    </row>
    <row r="1196" spans="1:14" x14ac:dyDescent="0.2">
      <c r="A1196" s="1"/>
      <c r="B1196" s="1"/>
      <c r="C1196" s="1"/>
      <c r="D1196" s="1"/>
      <c r="E1196" s="1"/>
      <c r="F1196" s="1"/>
      <c r="G1196" s="1"/>
      <c r="H1196" s="1"/>
      <c r="I1196" s="1"/>
      <c r="J1196" s="1"/>
      <c r="K1196" s="1"/>
      <c r="L1196" s="3"/>
      <c r="M1196" s="1"/>
      <c r="N1196" s="1"/>
    </row>
    <row r="1197" spans="1:14" ht="29.45" customHeight="1" thickBot="1" x14ac:dyDescent="0.25">
      <c r="A1197" s="533" t="s">
        <v>1593</v>
      </c>
      <c r="B1197" s="103" t="s">
        <v>2764</v>
      </c>
      <c r="C1197" s="1"/>
      <c r="D1197" s="102" t="s">
        <v>446</v>
      </c>
      <c r="E1197" s="102" t="s">
        <v>1623</v>
      </c>
      <c r="F1197" s="526" t="s">
        <v>2119</v>
      </c>
      <c r="G1197" s="527" t="s">
        <v>2120</v>
      </c>
      <c r="H1197" s="1"/>
      <c r="I1197" s="1"/>
      <c r="J1197" s="5" t="str">
        <f>IF(D1198="x","FOUT","")</f>
        <v/>
      </c>
      <c r="K1197" s="5">
        <f>ABS(IF(J1197="JUIST","1","0"))</f>
        <v>0</v>
      </c>
      <c r="L1197" s="3" t="s">
        <v>995</v>
      </c>
      <c r="M1197" s="1"/>
      <c r="N1197" s="1"/>
    </row>
    <row r="1198" spans="1:14" ht="13.5" thickTop="1" x14ac:dyDescent="0.2">
      <c r="A1198" s="1"/>
      <c r="B1198" s="61" t="s">
        <v>2461</v>
      </c>
      <c r="C1198" s="1"/>
      <c r="D1198" s="318" t="s">
        <v>995</v>
      </c>
      <c r="E1198" s="318" t="s">
        <v>995</v>
      </c>
      <c r="F1198" s="318" t="s">
        <v>995</v>
      </c>
      <c r="G1198" s="318" t="s">
        <v>995</v>
      </c>
      <c r="H1198" s="1"/>
      <c r="I1198" s="1"/>
      <c r="J1198" s="5" t="str">
        <f>IF(E1198="x","JUIST","")</f>
        <v/>
      </c>
      <c r="K1198" s="5">
        <f>ABS(IF(J1198="JUIST","1","0"))</f>
        <v>0</v>
      </c>
      <c r="L1198" s="3">
        <v>1</v>
      </c>
      <c r="M1198" s="1"/>
      <c r="N1198" s="1"/>
    </row>
    <row r="1199" spans="1:14" x14ac:dyDescent="0.2">
      <c r="A1199" s="1"/>
      <c r="B1199" s="67" t="s">
        <v>2765</v>
      </c>
      <c r="C1199" s="1"/>
      <c r="D1199" s="3" t="s">
        <v>475</v>
      </c>
      <c r="E1199" s="3" t="s">
        <v>476</v>
      </c>
      <c r="F1199" s="3" t="s">
        <v>477</v>
      </c>
      <c r="G1199" s="3" t="s">
        <v>478</v>
      </c>
      <c r="H1199" s="1"/>
      <c r="I1199" s="1"/>
      <c r="J1199" s="5" t="str">
        <f>IF(F1198="x","FOUT","")</f>
        <v/>
      </c>
      <c r="K1199" s="5">
        <f>ABS(IF(J1199="JUIST","1","0"))</f>
        <v>0</v>
      </c>
      <c r="L1199" s="3" t="s">
        <v>995</v>
      </c>
      <c r="M1199" s="1"/>
      <c r="N1199" s="1"/>
    </row>
    <row r="1200" spans="1:14" x14ac:dyDescent="0.2">
      <c r="A1200" s="1"/>
      <c r="B1200" s="1" t="s">
        <v>995</v>
      </c>
      <c r="D1200" s="1"/>
      <c r="E1200" s="1"/>
      <c r="F1200" s="1"/>
      <c r="G1200" s="1"/>
      <c r="H1200" s="1"/>
      <c r="I1200" s="1"/>
      <c r="J1200" s="5" t="str">
        <f>IF(G1198="x","FOUT","")</f>
        <v/>
      </c>
      <c r="K1200" s="5">
        <f>ABS(IF(J1200="JUIST","1","0"))</f>
        <v>0</v>
      </c>
      <c r="L1200" s="3" t="s">
        <v>995</v>
      </c>
      <c r="M1200" s="1"/>
      <c r="N1200" s="1"/>
    </row>
    <row r="1201" spans="1:14" x14ac:dyDescent="0.2">
      <c r="A1201" s="1"/>
      <c r="B1201" s="82" t="s">
        <v>1033</v>
      </c>
      <c r="C1201" s="318" t="s">
        <v>995</v>
      </c>
      <c r="D1201" s="3"/>
      <c r="E1201" s="3"/>
      <c r="F1201" s="3"/>
      <c r="G1201" s="1"/>
      <c r="H1201" s="1"/>
      <c r="I1201" s="1"/>
      <c r="J1201" s="73" t="str">
        <f>IF(C1201="x","Het juiste antwoord is:  A.","")</f>
        <v/>
      </c>
      <c r="K1201" s="1"/>
      <c r="L1201" s="3"/>
      <c r="M1201" s="1"/>
      <c r="N1201" s="1"/>
    </row>
    <row r="1202" spans="1:14" x14ac:dyDescent="0.2">
      <c r="A1202" s="1"/>
      <c r="B1202" s="17" t="str">
        <f>IF(C1201="x",J1201,"")</f>
        <v/>
      </c>
      <c r="C1202" s="1"/>
      <c r="D1202" s="1"/>
      <c r="E1202" s="1"/>
      <c r="F1202" s="1"/>
      <c r="G1202" s="1"/>
      <c r="H1202" s="1"/>
      <c r="I1202" s="1"/>
      <c r="J1202" s="1"/>
      <c r="K1202" s="1"/>
      <c r="L1202" s="3"/>
      <c r="M1202" s="1"/>
      <c r="N1202" s="1"/>
    </row>
    <row r="1203" spans="1:14" x14ac:dyDescent="0.2">
      <c r="A1203" s="14"/>
      <c r="B1203" s="14"/>
      <c r="C1203" s="14"/>
      <c r="D1203" s="180"/>
      <c r="E1203" s="14"/>
      <c r="F1203" s="14"/>
      <c r="G1203" s="14"/>
      <c r="H1203" s="14"/>
      <c r="I1203" s="14"/>
      <c r="J1203" s="1"/>
      <c r="K1203" s="1"/>
      <c r="L1203" s="3"/>
      <c r="M1203" s="1"/>
      <c r="N1203" s="1"/>
    </row>
    <row r="1204" spans="1:14" x14ac:dyDescent="0.2">
      <c r="A1204" s="1"/>
      <c r="B1204" s="1"/>
      <c r="C1204" s="1"/>
      <c r="D1204" s="1"/>
      <c r="E1204" s="1"/>
      <c r="F1204" s="1"/>
      <c r="G1204" s="1"/>
      <c r="H1204" s="1"/>
      <c r="I1204" s="1"/>
      <c r="J1204" s="1"/>
      <c r="K1204" s="1"/>
      <c r="L1204" s="3"/>
      <c r="M1204" s="1"/>
      <c r="N1204" s="1"/>
    </row>
    <row r="1205" spans="1:14" x14ac:dyDescent="0.2">
      <c r="A1205" s="473" t="s">
        <v>1600</v>
      </c>
      <c r="B1205" s="370" t="s">
        <v>1558</v>
      </c>
      <c r="C1205" s="367"/>
      <c r="D1205" s="368"/>
      <c r="E1205" s="368"/>
      <c r="F1205" s="368"/>
      <c r="G1205" s="365"/>
      <c r="H1205" s="365"/>
      <c r="I1205" s="365"/>
      <c r="J1205" s="369"/>
      <c r="K1205" s="365"/>
      <c r="L1205" s="368"/>
      <c r="M1205" s="1"/>
      <c r="N1205" s="1"/>
    </row>
    <row r="1206" spans="1:14" x14ac:dyDescent="0.2">
      <c r="A1206" s="365"/>
      <c r="B1206" s="534" t="s">
        <v>2462</v>
      </c>
      <c r="C1206" s="367"/>
      <c r="D1206" s="368"/>
      <c r="E1206" s="368"/>
      <c r="F1206" s="368"/>
      <c r="G1206" s="365"/>
      <c r="H1206" s="365"/>
      <c r="I1206" s="365"/>
      <c r="J1206" s="369"/>
      <c r="K1206" s="365"/>
      <c r="L1206" s="368"/>
      <c r="M1206" s="1"/>
      <c r="N1206" s="1"/>
    </row>
    <row r="1207" spans="1:14" x14ac:dyDescent="0.2">
      <c r="A1207" s="365"/>
      <c r="B1207" s="370"/>
      <c r="C1207" s="367"/>
      <c r="D1207" s="368"/>
      <c r="E1207" s="368"/>
      <c r="F1207" s="368"/>
      <c r="G1207" s="365"/>
      <c r="H1207" s="365"/>
      <c r="I1207" s="365"/>
      <c r="J1207" s="369"/>
      <c r="K1207" s="365"/>
      <c r="L1207" s="368"/>
      <c r="M1207" s="1"/>
      <c r="N1207" s="1"/>
    </row>
    <row r="1208" spans="1:14" x14ac:dyDescent="0.2">
      <c r="A1208" s="27" t="s">
        <v>999</v>
      </c>
      <c r="B1208" s="371" t="s">
        <v>1561</v>
      </c>
      <c r="C1208" s="10" t="s">
        <v>995</v>
      </c>
      <c r="D1208" s="368" t="str">
        <f>IF(C1215="x",M1208,"")</f>
        <v/>
      </c>
      <c r="F1208" s="368"/>
      <c r="G1208" s="365"/>
      <c r="H1208" s="365"/>
      <c r="I1208" s="365"/>
      <c r="J1208" s="5" t="str">
        <f>IF(C1208="x","FOUT","")</f>
        <v/>
      </c>
      <c r="K1208" s="5">
        <f>ABS(IF(J1208="JUIST","1","0"))</f>
        <v>0</v>
      </c>
      <c r="L1208" s="3" t="s">
        <v>995</v>
      </c>
      <c r="M1208" s="1" t="s">
        <v>1556</v>
      </c>
      <c r="N1208" s="1"/>
    </row>
    <row r="1209" spans="1:14" x14ac:dyDescent="0.2">
      <c r="A1209" s="27" t="s">
        <v>1000</v>
      </c>
      <c r="B1209" s="371" t="s">
        <v>1560</v>
      </c>
      <c r="C1209" s="10" t="s">
        <v>995</v>
      </c>
      <c r="D1209" s="368" t="str">
        <f>IF(C1215="x",M1209,"")</f>
        <v/>
      </c>
      <c r="E1209" s="1"/>
      <c r="F1209" s="368"/>
      <c r="G1209" s="365"/>
      <c r="H1209" s="365"/>
      <c r="I1209" s="365"/>
      <c r="J1209" s="5" t="str">
        <f>IF(C1209="x","FOUT","")</f>
        <v/>
      </c>
      <c r="K1209" s="5">
        <f>ABS(IF(J1209="JUIST","1","0"))</f>
        <v>0</v>
      </c>
      <c r="L1209" s="3" t="s">
        <v>995</v>
      </c>
      <c r="M1209" s="1" t="s">
        <v>1553</v>
      </c>
      <c r="N1209" s="1"/>
    </row>
    <row r="1210" spans="1:14" x14ac:dyDescent="0.2">
      <c r="A1210" s="27" t="s">
        <v>1001</v>
      </c>
      <c r="B1210" s="372" t="s">
        <v>1562</v>
      </c>
      <c r="C1210" s="10" t="s">
        <v>995</v>
      </c>
      <c r="D1210" s="368" t="str">
        <f>IF(C1215="x",M1210,"")</f>
        <v/>
      </c>
      <c r="E1210" s="368"/>
      <c r="F1210" s="368"/>
      <c r="G1210" s="365"/>
      <c r="H1210" s="365"/>
      <c r="I1210" s="365"/>
      <c r="J1210" s="5" t="str">
        <f>IF(C1210="x","FOUT","")</f>
        <v/>
      </c>
      <c r="K1210" s="5">
        <f>ABS(IF(J1210="JUIST","1","0"))</f>
        <v>0</v>
      </c>
      <c r="L1210" s="3" t="s">
        <v>995</v>
      </c>
      <c r="M1210" s="1" t="s">
        <v>1555</v>
      </c>
      <c r="N1210" s="1"/>
    </row>
    <row r="1211" spans="1:14" x14ac:dyDescent="0.2">
      <c r="A1211" s="27" t="s">
        <v>1002</v>
      </c>
      <c r="B1211" s="536" t="s">
        <v>2463</v>
      </c>
      <c r="C1211" s="10" t="s">
        <v>995</v>
      </c>
      <c r="D1211" s="368" t="str">
        <f>IF(C1215="x",M1211,"")</f>
        <v/>
      </c>
      <c r="E1211" s="368"/>
      <c r="F1211" s="368"/>
      <c r="G1211" s="365"/>
      <c r="H1211" s="365"/>
      <c r="I1211" s="365"/>
      <c r="J1211" s="5" t="str">
        <f>IF(C1211="x","FOUT","")</f>
        <v/>
      </c>
      <c r="K1211" s="5">
        <f>ABS(IF(J1211="JUIST","1","0"))</f>
        <v>0</v>
      </c>
      <c r="L1211" s="3" t="s">
        <v>995</v>
      </c>
      <c r="M1211" s="1" t="s">
        <v>1554</v>
      </c>
      <c r="N1211" s="1"/>
    </row>
    <row r="1212" spans="1:14" x14ac:dyDescent="0.2">
      <c r="A1212" s="27" t="s">
        <v>863</v>
      </c>
      <c r="B1212" s="371" t="s">
        <v>1559</v>
      </c>
      <c r="C1212" s="10" t="s">
        <v>995</v>
      </c>
      <c r="D1212" s="368" t="str">
        <f>IF(C1215="x",M1212,"")</f>
        <v/>
      </c>
      <c r="E1212" s="368"/>
      <c r="F1212" s="368"/>
      <c r="G1212" s="365"/>
      <c r="H1212" s="365"/>
      <c r="I1212" s="365"/>
      <c r="J1212" s="5" t="str">
        <f>IF(C1212="x","JUIST","")</f>
        <v/>
      </c>
      <c r="K1212" s="5">
        <f>ABS(IF(J1212="JUIST","1","0"))</f>
        <v>0</v>
      </c>
      <c r="L1212" s="3">
        <v>1</v>
      </c>
      <c r="M1212" s="1" t="s">
        <v>1552</v>
      </c>
      <c r="N1212" s="1"/>
    </row>
    <row r="1213" spans="1:14" x14ac:dyDescent="0.2">
      <c r="A1213" s="47"/>
      <c r="B1213" s="594" t="s">
        <v>2776</v>
      </c>
      <c r="C1213" s="470"/>
      <c r="D1213" s="368"/>
      <c r="E1213" s="368"/>
      <c r="F1213" s="368"/>
      <c r="G1213" s="365"/>
      <c r="H1213" s="365"/>
      <c r="I1213" s="365"/>
      <c r="J1213" s="79"/>
      <c r="K1213" s="79"/>
      <c r="L1213" s="3"/>
      <c r="M1213" s="1"/>
      <c r="N1213" s="1"/>
    </row>
    <row r="1214" spans="1:14" x14ac:dyDescent="0.2">
      <c r="A1214" s="365"/>
      <c r="B1214" s="370"/>
      <c r="C1214" s="367"/>
      <c r="D1214" s="368"/>
      <c r="E1214" s="368"/>
      <c r="F1214" s="368"/>
      <c r="G1214" s="365"/>
      <c r="H1214" s="365"/>
      <c r="I1214" s="365"/>
      <c r="J1214" s="369"/>
      <c r="K1214" s="365"/>
      <c r="L1214" s="368"/>
      <c r="M1214" s="1"/>
      <c r="N1214" s="1"/>
    </row>
    <row r="1215" spans="1:14" x14ac:dyDescent="0.2">
      <c r="A1215" s="365"/>
      <c r="B1215" s="82" t="s">
        <v>1033</v>
      </c>
      <c r="C1215" s="318" t="s">
        <v>995</v>
      </c>
      <c r="D1215" s="368"/>
      <c r="E1215" s="368"/>
      <c r="F1215" s="368"/>
      <c r="G1215" s="365"/>
      <c r="H1215" s="365"/>
      <c r="I1215" s="365"/>
      <c r="J1215" s="369"/>
      <c r="K1215" s="365"/>
      <c r="L1215" s="368"/>
      <c r="M1215" s="1"/>
      <c r="N1215" s="1"/>
    </row>
    <row r="1216" spans="1:14" x14ac:dyDescent="0.2">
      <c r="A1216" s="365"/>
      <c r="B1216" s="370"/>
      <c r="C1216" s="367"/>
      <c r="D1216" s="368"/>
      <c r="E1216" s="368"/>
      <c r="F1216" s="368"/>
      <c r="G1216" s="365"/>
      <c r="H1216" s="365"/>
      <c r="I1216" s="365"/>
      <c r="J1216" s="369"/>
      <c r="K1216" s="365"/>
      <c r="L1216" s="368"/>
      <c r="M1216" s="1"/>
      <c r="N1216" s="1"/>
    </row>
    <row r="1217" spans="1:14" x14ac:dyDescent="0.2">
      <c r="A1217" s="14"/>
      <c r="B1217" s="14"/>
      <c r="C1217" s="14"/>
      <c r="D1217" s="180"/>
      <c r="E1217" s="14"/>
      <c r="F1217" s="14"/>
      <c r="G1217" s="14"/>
      <c r="H1217" s="14"/>
      <c r="I1217" s="14"/>
      <c r="J1217" s="369"/>
      <c r="K1217" s="365"/>
      <c r="L1217" s="368"/>
      <c r="M1217" s="1"/>
      <c r="N1217" s="1"/>
    </row>
    <row r="1218" spans="1:14" x14ac:dyDescent="0.2">
      <c r="A1218" s="105"/>
      <c r="B1218" s="105"/>
      <c r="C1218" s="105"/>
      <c r="D1218" s="105"/>
      <c r="E1218" s="105"/>
      <c r="F1218" s="105"/>
      <c r="G1218" s="105"/>
      <c r="H1218" s="105"/>
      <c r="I1218" s="105"/>
      <c r="J1218" s="369"/>
      <c r="K1218" s="365"/>
      <c r="L1218" s="368"/>
      <c r="M1218" s="1"/>
      <c r="N1218" s="1"/>
    </row>
    <row r="1219" spans="1:14" x14ac:dyDescent="0.2">
      <c r="A1219" s="105" t="s">
        <v>995</v>
      </c>
      <c r="B1219" s="105" t="s">
        <v>1611</v>
      </c>
      <c r="C1219" s="105"/>
      <c r="D1219" s="105"/>
      <c r="E1219" s="105"/>
      <c r="F1219" s="105"/>
      <c r="G1219" s="105"/>
      <c r="H1219" s="105"/>
      <c r="I1219" s="105"/>
      <c r="J1219" s="369"/>
      <c r="K1219" s="365"/>
      <c r="L1219" s="368"/>
      <c r="M1219" s="1"/>
      <c r="N1219" s="1"/>
    </row>
    <row r="1220" spans="1:14" x14ac:dyDescent="0.2">
      <c r="A1220" s="105"/>
      <c r="B1220" s="562" t="s">
        <v>2722</v>
      </c>
      <c r="C1220" s="105"/>
      <c r="D1220" s="105"/>
      <c r="E1220" s="105"/>
      <c r="F1220" s="105"/>
      <c r="G1220" s="105"/>
      <c r="H1220" s="105"/>
      <c r="I1220" s="105"/>
      <c r="J1220" s="369"/>
      <c r="K1220" s="365"/>
      <c r="L1220" s="368"/>
      <c r="M1220" s="1"/>
      <c r="N1220" s="1"/>
    </row>
    <row r="1221" spans="1:14" x14ac:dyDescent="0.2">
      <c r="A1221" s="105"/>
      <c r="B1221" s="105" t="s">
        <v>1612</v>
      </c>
      <c r="C1221" s="105"/>
      <c r="D1221" s="105"/>
      <c r="E1221" s="105"/>
      <c r="F1221" s="105"/>
      <c r="G1221" s="105"/>
      <c r="H1221" s="105"/>
      <c r="I1221" s="105"/>
      <c r="J1221" s="369"/>
      <c r="K1221" s="365"/>
      <c r="L1221" s="368"/>
      <c r="M1221" s="1"/>
      <c r="N1221" s="1"/>
    </row>
    <row r="1222" spans="1:14" x14ac:dyDescent="0.2">
      <c r="A1222" s="105"/>
      <c r="B1222" s="105"/>
      <c r="C1222" s="105"/>
      <c r="D1222" s="105"/>
      <c r="E1222" s="105"/>
      <c r="F1222" s="105"/>
      <c r="G1222" s="105"/>
      <c r="H1222" s="105"/>
      <c r="I1222" s="105"/>
      <c r="J1222" s="369"/>
      <c r="K1222" s="365"/>
      <c r="L1222" s="368"/>
      <c r="M1222" s="1"/>
      <c r="N1222" s="1"/>
    </row>
    <row r="1223" spans="1:14" x14ac:dyDescent="0.2">
      <c r="A1223" s="14"/>
      <c r="B1223" s="14"/>
      <c r="C1223" s="14"/>
      <c r="D1223" s="180"/>
      <c r="E1223" s="14"/>
      <c r="F1223" s="14"/>
      <c r="G1223" s="14"/>
      <c r="H1223" s="14"/>
      <c r="I1223" s="14"/>
      <c r="J1223" s="369"/>
      <c r="K1223" s="365"/>
      <c r="L1223" s="368"/>
      <c r="M1223" s="1"/>
      <c r="N1223" s="1"/>
    </row>
    <row r="1224" spans="1:14" x14ac:dyDescent="0.2">
      <c r="A1224" s="1"/>
      <c r="B1224" s="1"/>
      <c r="C1224" s="1"/>
      <c r="D1224" s="1"/>
      <c r="E1224" s="1"/>
      <c r="F1224" s="1"/>
      <c r="G1224" s="1"/>
      <c r="H1224" s="1"/>
      <c r="I1224" s="1"/>
      <c r="J1224" s="5" t="e">
        <f>SEARCH("arbeidsverhouding",D1228)</f>
        <v>#VALUE!</v>
      </c>
      <c r="K1224" s="1"/>
      <c r="L1224" s="3"/>
      <c r="M1224" s="1"/>
      <c r="N1224" s="1"/>
    </row>
    <row r="1225" spans="1:14" x14ac:dyDescent="0.2">
      <c r="A1225" s="67" t="s">
        <v>1609</v>
      </c>
      <c r="B1225" s="1" t="s">
        <v>1564</v>
      </c>
      <c r="C1225" s="1"/>
      <c r="D1225" s="1"/>
      <c r="E1225" s="1"/>
      <c r="F1225" s="1"/>
      <c r="G1225" s="1"/>
      <c r="H1225" s="1"/>
      <c r="I1225" s="1"/>
      <c r="J1225" s="5">
        <f>ABS(ISERR(J1224))</f>
        <v>1</v>
      </c>
      <c r="K1225" s="5">
        <f>ABS(IF(J1225=0,"0,5","0"))</f>
        <v>0</v>
      </c>
      <c r="L1225" s="3">
        <v>0.5</v>
      </c>
      <c r="M1225" s="1" t="s">
        <v>1568</v>
      </c>
      <c r="N1225" s="1"/>
    </row>
    <row r="1226" spans="1:14" x14ac:dyDescent="0.2">
      <c r="A1226" s="1"/>
      <c r="B1226" s="1" t="s">
        <v>1565</v>
      </c>
      <c r="C1226" s="1"/>
      <c r="D1226" s="1"/>
      <c r="E1226" s="1"/>
      <c r="F1226" s="1"/>
      <c r="G1226" s="1"/>
      <c r="H1226" s="1"/>
      <c r="I1226" s="1"/>
      <c r="J1226" s="5" t="e">
        <f>SEARCH("verstoorde",D1228)</f>
        <v>#VALUE!</v>
      </c>
      <c r="K1226" s="1"/>
      <c r="L1226" s="3"/>
      <c r="M1226" s="1"/>
      <c r="N1226" s="1"/>
    </row>
    <row r="1227" spans="1:14" x14ac:dyDescent="0.2">
      <c r="A1227" s="1"/>
      <c r="B1227" s="1" t="s">
        <v>1566</v>
      </c>
      <c r="C1227" s="1"/>
      <c r="D1227" s="1"/>
      <c r="E1227" s="1"/>
      <c r="F1227" s="1"/>
      <c r="G1227" s="1"/>
      <c r="H1227" s="1"/>
      <c r="I1227" s="1"/>
      <c r="J1227" s="5">
        <f>ABS(ISERR(J1226))</f>
        <v>1</v>
      </c>
      <c r="K1227" s="5">
        <f>ABS(IF(J1227=0,"0,5","0"))</f>
        <v>0</v>
      </c>
      <c r="L1227" s="3">
        <v>0.5</v>
      </c>
      <c r="M1227" s="1"/>
      <c r="N1227" s="1"/>
    </row>
    <row r="1228" spans="1:14" x14ac:dyDescent="0.2">
      <c r="A1228" s="1"/>
      <c r="B1228" s="1" t="s">
        <v>1567</v>
      </c>
      <c r="C1228" s="1"/>
      <c r="D1228" s="474" t="s">
        <v>995</v>
      </c>
      <c r="E1228" s="356"/>
      <c r="F1228" s="319"/>
      <c r="G1228" s="1"/>
      <c r="H1228" s="1"/>
      <c r="I1228" s="1"/>
      <c r="J1228" s="1"/>
      <c r="K1228" s="1"/>
      <c r="L1228" s="3"/>
      <c r="M1228" s="1"/>
      <c r="N1228" s="1"/>
    </row>
    <row r="1229" spans="1:14" x14ac:dyDescent="0.2">
      <c r="A1229" s="1"/>
      <c r="B1229" s="1"/>
      <c r="C1229" s="1"/>
      <c r="D1229" s="1" t="str">
        <f>IF(C1230="x",M1225,"")</f>
        <v/>
      </c>
      <c r="E1229" s="1"/>
      <c r="F1229" s="1"/>
      <c r="G1229" s="1"/>
      <c r="H1229" s="1"/>
      <c r="I1229" s="1"/>
      <c r="J1229" s="1"/>
      <c r="K1229" s="1"/>
      <c r="L1229" s="3"/>
      <c r="M1229" s="1"/>
      <c r="N1229" s="1"/>
    </row>
    <row r="1230" spans="1:14" x14ac:dyDescent="0.2">
      <c r="A1230" s="1"/>
      <c r="B1230" s="82" t="s">
        <v>1033</v>
      </c>
      <c r="C1230" s="318" t="s">
        <v>995</v>
      </c>
      <c r="D1230" s="1"/>
      <c r="E1230" s="1"/>
      <c r="F1230" s="1"/>
      <c r="G1230" s="1"/>
      <c r="H1230" s="1"/>
      <c r="I1230" s="1"/>
      <c r="J1230" s="1"/>
      <c r="K1230" s="1"/>
      <c r="L1230" s="3"/>
      <c r="M1230" s="1"/>
      <c r="N1230" s="1"/>
    </row>
    <row r="1231" spans="1:14" x14ac:dyDescent="0.2">
      <c r="A1231" s="1"/>
      <c r="B1231" s="1"/>
      <c r="C1231" s="1"/>
      <c r="D1231" s="1"/>
      <c r="E1231" s="1"/>
      <c r="F1231" s="1"/>
      <c r="G1231" s="1"/>
      <c r="H1231" s="1"/>
      <c r="I1231" s="1"/>
      <c r="J1231" s="1"/>
      <c r="K1231" s="1"/>
      <c r="L1231" s="3"/>
      <c r="M1231" s="1"/>
      <c r="N1231" s="1"/>
    </row>
    <row r="1232" spans="1:14" x14ac:dyDescent="0.2">
      <c r="A1232" s="14"/>
      <c r="B1232" s="14"/>
      <c r="C1232" s="14"/>
      <c r="D1232" s="180"/>
      <c r="E1232" s="14"/>
      <c r="F1232" s="14"/>
      <c r="G1232" s="14"/>
      <c r="H1232" s="14"/>
      <c r="I1232" s="14"/>
      <c r="J1232" s="1"/>
      <c r="K1232" s="1"/>
      <c r="L1232" s="3"/>
      <c r="M1232" s="1"/>
      <c r="N1232" s="1"/>
    </row>
    <row r="1233" spans="1:14" x14ac:dyDescent="0.2">
      <c r="A1233" s="1"/>
      <c r="B1233" s="1"/>
      <c r="C1233" s="1"/>
      <c r="D1233" s="1"/>
      <c r="E1233" s="1"/>
      <c r="F1233" s="1"/>
      <c r="G1233" s="1"/>
      <c r="H1233" s="1"/>
      <c r="I1233" s="1"/>
      <c r="J1233" s="5" t="e">
        <f>SEARCH("dossier",C1235)</f>
        <v>#VALUE!</v>
      </c>
      <c r="K1233" s="1"/>
      <c r="L1233" s="3"/>
      <c r="M1233" s="1"/>
      <c r="N1233" s="1"/>
    </row>
    <row r="1234" spans="1:14" x14ac:dyDescent="0.2">
      <c r="A1234" s="67" t="s">
        <v>1610</v>
      </c>
      <c r="B1234" s="1" t="s">
        <v>2464</v>
      </c>
      <c r="C1234" s="1"/>
      <c r="D1234" s="1"/>
      <c r="E1234" s="1"/>
      <c r="F1234" s="1"/>
      <c r="G1234" s="1"/>
      <c r="H1234" s="1"/>
      <c r="I1234" s="1"/>
      <c r="J1234" s="5">
        <f>ABS(ISERR(J1233))</f>
        <v>1</v>
      </c>
      <c r="K1234" s="5">
        <f>ABS(IF(J1234=0,"0,5","0"))</f>
        <v>0</v>
      </c>
      <c r="L1234" s="3">
        <v>0.5</v>
      </c>
      <c r="M1234" s="1" t="s">
        <v>1572</v>
      </c>
      <c r="N1234" s="1"/>
    </row>
    <row r="1235" spans="1:14" x14ac:dyDescent="0.2">
      <c r="A1235" s="1"/>
      <c r="B1235" s="16" t="s">
        <v>1570</v>
      </c>
      <c r="C1235" s="10" t="s">
        <v>995</v>
      </c>
      <c r="D1235" s="1" t="s">
        <v>1571</v>
      </c>
      <c r="E1235" s="1"/>
      <c r="F1235" s="1"/>
      <c r="G1235" s="1"/>
      <c r="H1235" s="1"/>
      <c r="I1235" s="1"/>
      <c r="J1235" s="5" t="e">
        <f>SEARCH("ontslag",C1235)</f>
        <v>#VALUE!</v>
      </c>
      <c r="K1235" s="1"/>
      <c r="L1235" s="3"/>
      <c r="M1235" s="1"/>
      <c r="N1235" s="1"/>
    </row>
    <row r="1236" spans="1:14" x14ac:dyDescent="0.2">
      <c r="A1236" s="1"/>
      <c r="B1236" s="1"/>
      <c r="C1236" s="1"/>
      <c r="D1236" s="1"/>
      <c r="E1236" s="1"/>
      <c r="F1236" s="1"/>
      <c r="G1236" s="1"/>
      <c r="H1236" s="1"/>
      <c r="I1236" s="1"/>
      <c r="J1236" s="5">
        <f>ABS(ISERR(J1235))</f>
        <v>1</v>
      </c>
      <c r="K1236" s="5">
        <f>ABS(IF(J1236=0,"0,5","0"))</f>
        <v>0</v>
      </c>
      <c r="L1236" s="3">
        <v>0.5</v>
      </c>
      <c r="M1236" s="1"/>
      <c r="N1236" s="1"/>
    </row>
    <row r="1237" spans="1:14" x14ac:dyDescent="0.2">
      <c r="A1237" s="1"/>
      <c r="B1237" s="82" t="s">
        <v>1033</v>
      </c>
      <c r="C1237" s="318" t="s">
        <v>995</v>
      </c>
      <c r="D1237" s="1"/>
      <c r="E1237" s="1"/>
      <c r="F1237" s="1"/>
      <c r="G1237" s="1"/>
      <c r="H1237" s="1"/>
      <c r="I1237" s="1"/>
      <c r="J1237" s="73" t="str">
        <f>IF(C1237="x","Het juiste antwoord is:  Ontslagdossier.","")</f>
        <v/>
      </c>
      <c r="K1237" s="1"/>
      <c r="L1237" s="3"/>
      <c r="M1237" s="1"/>
      <c r="N1237" s="1"/>
    </row>
    <row r="1238" spans="1:14" x14ac:dyDescent="0.2">
      <c r="A1238" s="1"/>
      <c r="B1238" s="1" t="str">
        <f>IF(C1237="x",J1237,"")</f>
        <v/>
      </c>
      <c r="C1238" s="1"/>
      <c r="D1238" s="1"/>
      <c r="E1238" s="1"/>
      <c r="F1238" s="1"/>
      <c r="G1238" s="1"/>
      <c r="H1238" s="1"/>
      <c r="I1238" s="1"/>
      <c r="J1238" s="1"/>
      <c r="K1238" s="1"/>
      <c r="L1238" s="3"/>
      <c r="M1238" s="1"/>
      <c r="N1238" s="1"/>
    </row>
    <row r="1239" spans="1:14" x14ac:dyDescent="0.2">
      <c r="A1239" s="14"/>
      <c r="B1239" s="14"/>
      <c r="C1239" s="14"/>
      <c r="D1239" s="180"/>
      <c r="E1239" s="14"/>
      <c r="F1239" s="14"/>
      <c r="G1239" s="14"/>
      <c r="H1239" s="14"/>
      <c r="I1239" s="14"/>
      <c r="J1239" s="1"/>
      <c r="K1239" s="1"/>
      <c r="L1239" s="3"/>
      <c r="M1239" s="1"/>
      <c r="N1239" s="1"/>
    </row>
    <row r="1240" spans="1:14" x14ac:dyDescent="0.2">
      <c r="A1240" s="1"/>
      <c r="B1240" s="1"/>
      <c r="C1240" s="1"/>
      <c r="D1240" s="1"/>
      <c r="E1240" s="1"/>
      <c r="F1240" s="1"/>
      <c r="G1240" s="1"/>
      <c r="H1240" s="1"/>
      <c r="I1240" s="1"/>
      <c r="J1240" s="1"/>
      <c r="K1240" s="1"/>
      <c r="L1240" s="3"/>
      <c r="M1240" s="1"/>
      <c r="N1240" s="1"/>
    </row>
    <row r="1241" spans="1:14" x14ac:dyDescent="0.2">
      <c r="A1241" s="473" t="s">
        <v>1613</v>
      </c>
      <c r="B1241" s="370" t="s">
        <v>1952</v>
      </c>
      <c r="C1241" s="367"/>
      <c r="D1241" s="1"/>
      <c r="E1241" s="1"/>
      <c r="F1241" s="1"/>
      <c r="G1241" s="1"/>
      <c r="H1241" s="1"/>
      <c r="I1241" s="1"/>
      <c r="J1241" s="1"/>
      <c r="K1241" s="1"/>
      <c r="L1241" s="3"/>
      <c r="M1241" s="1"/>
      <c r="N1241" s="1"/>
    </row>
    <row r="1242" spans="1:14" x14ac:dyDescent="0.2">
      <c r="A1242" s="365"/>
      <c r="B1242" s="370" t="s">
        <v>1953</v>
      </c>
      <c r="C1242" s="367"/>
      <c r="D1242" s="1"/>
      <c r="E1242" s="1"/>
      <c r="F1242" s="1"/>
      <c r="G1242" s="1"/>
      <c r="H1242" s="1"/>
      <c r="I1242" s="1"/>
      <c r="J1242" s="1"/>
      <c r="K1242" s="1"/>
      <c r="L1242" s="3"/>
      <c r="M1242" s="1"/>
      <c r="N1242" s="1"/>
    </row>
    <row r="1243" spans="1:14" x14ac:dyDescent="0.2">
      <c r="A1243" s="365"/>
      <c r="B1243" s="370"/>
      <c r="C1243" s="367"/>
      <c r="D1243" s="1"/>
      <c r="E1243" s="1"/>
      <c r="F1243" s="1"/>
      <c r="G1243" s="1"/>
      <c r="H1243" s="1"/>
      <c r="I1243" s="1"/>
      <c r="J1243" s="1"/>
      <c r="K1243" s="1"/>
      <c r="L1243" s="3"/>
      <c r="M1243" s="1"/>
      <c r="N1243" s="1"/>
    </row>
    <row r="1244" spans="1:14" x14ac:dyDescent="0.2">
      <c r="A1244" s="27" t="s">
        <v>999</v>
      </c>
      <c r="B1244" s="371" t="s">
        <v>1954</v>
      </c>
      <c r="C1244" s="318" t="s">
        <v>995</v>
      </c>
      <c r="D1244" s="368" t="str">
        <f>IF(C1251="x",M1244,"")</f>
        <v/>
      </c>
      <c r="E1244" s="426"/>
      <c r="F1244" s="1"/>
      <c r="G1244" s="1"/>
      <c r="H1244" s="1"/>
      <c r="I1244" s="1"/>
      <c r="J1244" s="5" t="str">
        <f>IF(C1244="x","JUIST","")</f>
        <v/>
      </c>
      <c r="K1244" s="5">
        <f t="shared" ref="K1244:K1249" si="2">ABS(IF(J1244="JUIST","1","0"))</f>
        <v>0</v>
      </c>
      <c r="L1244" s="3">
        <v>1</v>
      </c>
      <c r="M1244" s="67" t="s">
        <v>1916</v>
      </c>
      <c r="N1244" s="1"/>
    </row>
    <row r="1245" spans="1:14" x14ac:dyDescent="0.2">
      <c r="A1245" s="27" t="s">
        <v>1000</v>
      </c>
      <c r="B1245" s="371" t="s">
        <v>1955</v>
      </c>
      <c r="C1245" s="318" t="s">
        <v>995</v>
      </c>
      <c r="D1245" s="368" t="str">
        <f>IF(C1251="x",M1245,"")</f>
        <v/>
      </c>
      <c r="E1245" s="426"/>
      <c r="F1245" s="1"/>
      <c r="G1245" s="1"/>
      <c r="H1245" s="1"/>
      <c r="I1245" s="1"/>
      <c r="J1245" s="5" t="str">
        <f>IF(C1245="x","FOUT","")</f>
        <v/>
      </c>
      <c r="K1245" s="5">
        <f t="shared" si="2"/>
        <v>0</v>
      </c>
      <c r="L1245" s="3" t="s">
        <v>995</v>
      </c>
      <c r="M1245" s="67" t="s">
        <v>1958</v>
      </c>
      <c r="N1245" s="1"/>
    </row>
    <row r="1246" spans="1:14" x14ac:dyDescent="0.2">
      <c r="A1246" s="27" t="s">
        <v>1001</v>
      </c>
      <c r="B1246" s="371" t="s">
        <v>1956</v>
      </c>
      <c r="C1246" s="318" t="s">
        <v>995</v>
      </c>
      <c r="D1246" s="368" t="str">
        <f>IF(C1251="x",M1246,"")</f>
        <v/>
      </c>
      <c r="E1246" s="426"/>
      <c r="F1246" s="1"/>
      <c r="G1246" s="1"/>
      <c r="H1246" s="1"/>
      <c r="I1246" s="1"/>
      <c r="J1246" s="5" t="str">
        <f>IF(C1246="x","FOUT","")</f>
        <v/>
      </c>
      <c r="K1246" s="5">
        <f t="shared" si="2"/>
        <v>0</v>
      </c>
      <c r="L1246" s="3" t="s">
        <v>995</v>
      </c>
      <c r="M1246" s="67" t="s">
        <v>1958</v>
      </c>
      <c r="N1246" s="1"/>
    </row>
    <row r="1247" spans="1:14" x14ac:dyDescent="0.2">
      <c r="A1247" s="27" t="s">
        <v>1002</v>
      </c>
      <c r="B1247" s="371" t="s">
        <v>2706</v>
      </c>
      <c r="C1247" s="318" t="s">
        <v>995</v>
      </c>
      <c r="D1247" s="368" t="str">
        <f>IF(C1251="x",M1247,"")</f>
        <v/>
      </c>
      <c r="E1247" s="426"/>
      <c r="F1247" s="1"/>
      <c r="G1247" s="1"/>
      <c r="H1247" s="1"/>
      <c r="I1247" s="1"/>
      <c r="J1247" s="5" t="str">
        <f>IF(C1247="x","JUIST","")</f>
        <v/>
      </c>
      <c r="K1247" s="5">
        <f t="shared" si="2"/>
        <v>0</v>
      </c>
      <c r="L1247" s="3">
        <v>1</v>
      </c>
      <c r="M1247" s="67" t="s">
        <v>1916</v>
      </c>
      <c r="N1247" s="1"/>
    </row>
    <row r="1248" spans="1:14" x14ac:dyDescent="0.2">
      <c r="A1248" s="27" t="s">
        <v>863</v>
      </c>
      <c r="B1248" s="371" t="s">
        <v>2707</v>
      </c>
      <c r="C1248" s="318" t="s">
        <v>995</v>
      </c>
      <c r="D1248" s="368" t="str">
        <f>IF(C1251="x",M1248,"")</f>
        <v/>
      </c>
      <c r="E1248" s="426"/>
      <c r="F1248" s="1"/>
      <c r="G1248" s="1"/>
      <c r="H1248" s="1"/>
      <c r="I1248" s="1"/>
      <c r="J1248" s="5" t="str">
        <f>IF(C1248="x","FOUT","")</f>
        <v/>
      </c>
      <c r="K1248" s="5">
        <f t="shared" si="2"/>
        <v>0</v>
      </c>
      <c r="L1248" s="430" t="s">
        <v>995</v>
      </c>
      <c r="M1248" s="67" t="s">
        <v>1914</v>
      </c>
      <c r="N1248" s="1"/>
    </row>
    <row r="1249" spans="1:14" x14ac:dyDescent="0.2">
      <c r="A1249" s="371" t="s">
        <v>1979</v>
      </c>
      <c r="B1249" s="371" t="s">
        <v>1957</v>
      </c>
      <c r="C1249" s="318" t="s">
        <v>995</v>
      </c>
      <c r="D1249" s="368" t="str">
        <f>IF(C1251="x",M1249,"")</f>
        <v/>
      </c>
      <c r="E1249" s="426"/>
      <c r="F1249" s="1"/>
      <c r="G1249" s="1"/>
      <c r="H1249" s="1"/>
      <c r="I1249" s="1"/>
      <c r="J1249" s="5" t="str">
        <f>IF(C1249="x","JUIST","")</f>
        <v/>
      </c>
      <c r="K1249" s="5">
        <f t="shared" si="2"/>
        <v>0</v>
      </c>
      <c r="L1249" s="3">
        <v>1</v>
      </c>
      <c r="M1249" s="67" t="s">
        <v>1916</v>
      </c>
      <c r="N1249" s="1"/>
    </row>
    <row r="1250" spans="1:14" x14ac:dyDescent="0.2">
      <c r="A1250" s="365"/>
      <c r="B1250" s="370"/>
      <c r="C1250" s="367"/>
      <c r="D1250" s="1"/>
      <c r="E1250" s="1"/>
      <c r="F1250" s="1"/>
      <c r="G1250" s="1"/>
      <c r="H1250" s="1"/>
      <c r="I1250" s="1"/>
      <c r="J1250" s="1"/>
      <c r="K1250" s="1"/>
      <c r="L1250" s="3"/>
      <c r="M1250" s="1"/>
      <c r="N1250" s="1"/>
    </row>
    <row r="1251" spans="1:14" x14ac:dyDescent="0.2">
      <c r="A1251" s="365"/>
      <c r="B1251" s="82" t="s">
        <v>1033</v>
      </c>
      <c r="C1251" s="318" t="s">
        <v>995</v>
      </c>
      <c r="D1251" s="1"/>
      <c r="E1251" s="1"/>
      <c r="F1251" s="1"/>
      <c r="G1251" s="1"/>
      <c r="H1251" s="1"/>
      <c r="I1251" s="1"/>
      <c r="J1251" s="1"/>
      <c r="K1251" s="1"/>
      <c r="L1251" s="3"/>
      <c r="M1251" s="1"/>
      <c r="N1251" s="1"/>
    </row>
    <row r="1252" spans="1:14" x14ac:dyDescent="0.2">
      <c r="A1252" s="1"/>
      <c r="B1252" s="1"/>
      <c r="C1252" s="1"/>
      <c r="D1252" s="1"/>
      <c r="E1252" s="1"/>
      <c r="F1252" s="1"/>
      <c r="G1252" s="1"/>
      <c r="H1252" s="1"/>
      <c r="I1252" s="1"/>
      <c r="J1252" s="1"/>
      <c r="K1252" s="1"/>
      <c r="L1252" s="3"/>
      <c r="M1252" s="1"/>
      <c r="N1252" s="1"/>
    </row>
    <row r="1253" spans="1:14" x14ac:dyDescent="0.2">
      <c r="A1253" s="14"/>
      <c r="B1253" s="14"/>
      <c r="C1253" s="14"/>
      <c r="D1253" s="180"/>
      <c r="E1253" s="14"/>
      <c r="F1253" s="14"/>
      <c r="G1253" s="14"/>
      <c r="H1253" s="14"/>
      <c r="I1253" s="14"/>
      <c r="J1253" s="1"/>
      <c r="K1253" s="1"/>
      <c r="L1253" s="3"/>
      <c r="M1253" s="1"/>
      <c r="N1253" s="1"/>
    </row>
    <row r="1254" spans="1:14" x14ac:dyDescent="0.2">
      <c r="A1254" s="1"/>
      <c r="B1254" s="1"/>
      <c r="C1254" s="1"/>
      <c r="D1254" s="1"/>
      <c r="E1254" s="1"/>
      <c r="F1254" s="1"/>
      <c r="G1254" s="1"/>
      <c r="H1254" s="1"/>
      <c r="I1254" s="1"/>
      <c r="J1254" s="1"/>
      <c r="K1254" s="1"/>
      <c r="L1254" s="3"/>
      <c r="M1254" s="1"/>
      <c r="N1254" s="1"/>
    </row>
    <row r="1255" spans="1:14" x14ac:dyDescent="0.2">
      <c r="A1255" s="473" t="s">
        <v>1959</v>
      </c>
      <c r="B1255" s="534" t="s">
        <v>1961</v>
      </c>
      <c r="C1255" s="367"/>
      <c r="D1255" s="1"/>
      <c r="E1255" s="1"/>
      <c r="F1255" s="1"/>
      <c r="G1255" s="1"/>
      <c r="H1255" s="1"/>
      <c r="I1255" s="1"/>
      <c r="J1255" s="1"/>
      <c r="K1255" s="1"/>
      <c r="L1255" s="3"/>
      <c r="M1255" s="1"/>
      <c r="N1255" s="1"/>
    </row>
    <row r="1256" spans="1:14" x14ac:dyDescent="0.2">
      <c r="A1256" s="365"/>
      <c r="B1256" s="370" t="s">
        <v>2708</v>
      </c>
      <c r="C1256" s="367"/>
      <c r="D1256" s="1"/>
      <c r="E1256" s="1"/>
      <c r="F1256" s="1"/>
      <c r="G1256" s="1"/>
      <c r="H1256" s="1"/>
      <c r="I1256" s="1"/>
      <c r="J1256" s="1"/>
      <c r="K1256" s="1"/>
      <c r="L1256" s="3"/>
      <c r="M1256" s="1"/>
      <c r="N1256" s="1"/>
    </row>
    <row r="1257" spans="1:14" x14ac:dyDescent="0.2">
      <c r="A1257" s="365"/>
      <c r="B1257" s="370"/>
      <c r="C1257" s="367"/>
      <c r="D1257" s="1"/>
      <c r="E1257" s="1"/>
      <c r="F1257" s="1"/>
      <c r="G1257" s="1"/>
      <c r="H1257" s="1"/>
      <c r="I1257" s="1"/>
      <c r="J1257" s="1"/>
      <c r="K1257" s="1"/>
      <c r="L1257" s="3"/>
      <c r="M1257" s="1"/>
      <c r="N1257" s="1"/>
    </row>
    <row r="1258" spans="1:14" x14ac:dyDescent="0.2">
      <c r="A1258" s="27" t="s">
        <v>999</v>
      </c>
      <c r="B1258" s="537" t="s">
        <v>2465</v>
      </c>
      <c r="C1258" s="476"/>
      <c r="D1258" s="478"/>
      <c r="E1258" s="477"/>
      <c r="F1258" s="318" t="s">
        <v>995</v>
      </c>
      <c r="G1258" s="368" t="str">
        <f>IF(C1265="x",M1258,"")</f>
        <v/>
      </c>
      <c r="H1258" s="1"/>
      <c r="I1258" s="1"/>
      <c r="J1258" s="5" t="str">
        <f>IF(F1258="x","JUIST","")</f>
        <v/>
      </c>
      <c r="K1258" s="5">
        <f t="shared" ref="K1258:K1263" si="3">ABS(IF(J1258="JUIST","1","0"))</f>
        <v>0</v>
      </c>
      <c r="L1258" s="3">
        <v>1</v>
      </c>
      <c r="M1258" s="67" t="s">
        <v>1916</v>
      </c>
      <c r="N1258" s="1"/>
    </row>
    <row r="1259" spans="1:14" x14ac:dyDescent="0.2">
      <c r="A1259" s="27" t="s">
        <v>1000</v>
      </c>
      <c r="B1259" s="475" t="s">
        <v>1962</v>
      </c>
      <c r="C1259" s="476"/>
      <c r="D1259" s="478"/>
      <c r="E1259" s="477"/>
      <c r="F1259" s="318" t="s">
        <v>995</v>
      </c>
      <c r="G1259" s="368" t="str">
        <f>IF(C1265="x",M1259,"")</f>
        <v/>
      </c>
      <c r="H1259" s="1"/>
      <c r="I1259" s="1"/>
      <c r="J1259" s="5" t="str">
        <f>IF(F1259="x","FOUT","")</f>
        <v/>
      </c>
      <c r="K1259" s="5">
        <f t="shared" si="3"/>
        <v>0</v>
      </c>
      <c r="L1259" s="3" t="s">
        <v>995</v>
      </c>
      <c r="M1259" s="67" t="s">
        <v>1914</v>
      </c>
      <c r="N1259" s="1"/>
    </row>
    <row r="1260" spans="1:14" x14ac:dyDescent="0.2">
      <c r="A1260" s="27" t="s">
        <v>1001</v>
      </c>
      <c r="B1260" s="537" t="s">
        <v>2466</v>
      </c>
      <c r="C1260" s="476"/>
      <c r="D1260" s="478"/>
      <c r="E1260" s="477"/>
      <c r="F1260" s="318" t="s">
        <v>995</v>
      </c>
      <c r="G1260" s="368" t="str">
        <f>IF(C1265="x",M1260,"")</f>
        <v/>
      </c>
      <c r="H1260" s="1"/>
      <c r="I1260" s="1"/>
      <c r="J1260" s="5" t="str">
        <f>IF(F1260="x","JUIST","")</f>
        <v/>
      </c>
      <c r="K1260" s="5">
        <f t="shared" si="3"/>
        <v>0</v>
      </c>
      <c r="L1260" s="3">
        <v>1</v>
      </c>
      <c r="M1260" s="67" t="s">
        <v>1916</v>
      </c>
      <c r="N1260" s="1"/>
    </row>
    <row r="1261" spans="1:14" x14ac:dyDescent="0.2">
      <c r="A1261" s="27" t="s">
        <v>1002</v>
      </c>
      <c r="B1261" s="475" t="s">
        <v>1963</v>
      </c>
      <c r="C1261" s="476"/>
      <c r="D1261" s="478"/>
      <c r="E1261" s="477"/>
      <c r="F1261" s="318" t="s">
        <v>995</v>
      </c>
      <c r="G1261" s="368" t="str">
        <f>IF(C1265="x",M1261,"")</f>
        <v/>
      </c>
      <c r="H1261" s="1"/>
      <c r="I1261" s="1"/>
      <c r="J1261" s="5" t="str">
        <f>IF(F1261="x","JUIST","")</f>
        <v/>
      </c>
      <c r="K1261" s="5">
        <f t="shared" si="3"/>
        <v>0</v>
      </c>
      <c r="L1261" s="3">
        <v>1</v>
      </c>
      <c r="M1261" s="67" t="s">
        <v>1916</v>
      </c>
      <c r="N1261" s="1"/>
    </row>
    <row r="1262" spans="1:14" x14ac:dyDescent="0.2">
      <c r="A1262" s="27" t="s">
        <v>863</v>
      </c>
      <c r="B1262" s="475" t="s">
        <v>2710</v>
      </c>
      <c r="C1262" s="476"/>
      <c r="D1262" s="478"/>
      <c r="E1262" s="477"/>
      <c r="F1262" s="318" t="s">
        <v>995</v>
      </c>
      <c r="G1262" s="368" t="str">
        <f>IF(C1265="x",M1262,"")</f>
        <v/>
      </c>
      <c r="H1262" s="1"/>
      <c r="I1262" s="1"/>
      <c r="J1262" s="5" t="str">
        <f>IF(F1262="x","JUIST","")</f>
        <v/>
      </c>
      <c r="K1262" s="5">
        <f t="shared" si="3"/>
        <v>0</v>
      </c>
      <c r="L1262" s="430">
        <v>1</v>
      </c>
      <c r="M1262" s="67" t="s">
        <v>1916</v>
      </c>
      <c r="N1262" s="1"/>
    </row>
    <row r="1263" spans="1:14" x14ac:dyDescent="0.2">
      <c r="A1263" s="371" t="s">
        <v>1080</v>
      </c>
      <c r="B1263" s="475" t="s">
        <v>2709</v>
      </c>
      <c r="C1263" s="476"/>
      <c r="D1263" s="478"/>
      <c r="E1263" s="477"/>
      <c r="F1263" s="318" t="s">
        <v>995</v>
      </c>
      <c r="G1263" s="368" t="str">
        <f>IF(C1265="x",M1263,"")</f>
        <v/>
      </c>
      <c r="H1263" s="1"/>
      <c r="I1263" s="1"/>
      <c r="J1263" s="5" t="str">
        <f>IF(F1263="x","FOUT","")</f>
        <v/>
      </c>
      <c r="K1263" s="5">
        <f t="shared" si="3"/>
        <v>0</v>
      </c>
      <c r="L1263" s="430" t="s">
        <v>995</v>
      </c>
      <c r="M1263" s="67" t="s">
        <v>1914</v>
      </c>
      <c r="N1263" s="1"/>
    </row>
    <row r="1264" spans="1:14" x14ac:dyDescent="0.2">
      <c r="A1264" s="365"/>
      <c r="B1264" s="370"/>
      <c r="C1264" s="367"/>
      <c r="D1264" s="1"/>
      <c r="E1264" s="1"/>
      <c r="F1264" s="1"/>
      <c r="G1264" s="1"/>
      <c r="H1264" s="1"/>
      <c r="I1264" s="1"/>
      <c r="J1264" s="1"/>
      <c r="K1264" s="1"/>
      <c r="L1264" s="3"/>
      <c r="M1264" s="1"/>
      <c r="N1264" s="1"/>
    </row>
    <row r="1265" spans="1:14" x14ac:dyDescent="0.2">
      <c r="A1265" s="365"/>
      <c r="B1265" s="82" t="s">
        <v>1033</v>
      </c>
      <c r="C1265" s="318" t="s">
        <v>995</v>
      </c>
      <c r="D1265" s="1"/>
      <c r="E1265" s="1"/>
      <c r="F1265" s="1"/>
      <c r="G1265" s="1"/>
      <c r="H1265" s="1"/>
      <c r="I1265" s="1"/>
      <c r="J1265" s="1"/>
      <c r="K1265" s="1"/>
      <c r="L1265" s="3"/>
      <c r="M1265" s="1"/>
      <c r="N1265" s="1"/>
    </row>
    <row r="1266" spans="1:14" x14ac:dyDescent="0.2">
      <c r="A1266" s="1"/>
      <c r="B1266" s="1"/>
      <c r="C1266" s="1"/>
      <c r="D1266" s="1"/>
      <c r="E1266" s="1"/>
      <c r="F1266" s="1"/>
      <c r="G1266" s="1"/>
      <c r="H1266" s="1"/>
      <c r="I1266" s="1"/>
      <c r="J1266" s="1"/>
      <c r="K1266" s="1"/>
      <c r="L1266" s="3"/>
      <c r="M1266" s="1"/>
      <c r="N1266" s="1"/>
    </row>
    <row r="1267" spans="1:14" x14ac:dyDescent="0.2">
      <c r="A1267" s="14"/>
      <c r="B1267" s="14"/>
      <c r="C1267" s="14"/>
      <c r="D1267" s="180"/>
      <c r="E1267" s="14"/>
      <c r="F1267" s="14"/>
      <c r="G1267" s="14"/>
      <c r="H1267" s="14"/>
      <c r="I1267" s="14"/>
      <c r="J1267" s="1"/>
      <c r="K1267" s="1"/>
      <c r="L1267" s="3"/>
      <c r="M1267" s="1"/>
      <c r="N1267" s="1"/>
    </row>
    <row r="1268" spans="1:14" x14ac:dyDescent="0.2">
      <c r="A1268" s="1"/>
      <c r="B1268" s="1"/>
      <c r="C1268" s="1"/>
      <c r="D1268" s="1"/>
      <c r="E1268" s="1"/>
      <c r="F1268" s="1"/>
      <c r="G1268" s="1"/>
      <c r="H1268" s="1"/>
      <c r="I1268" s="1"/>
      <c r="J1268" s="5" t="e">
        <f>SEARCH("afscheid",G1278)</f>
        <v>#VALUE!</v>
      </c>
      <c r="K1268" s="1"/>
      <c r="L1268" s="3"/>
      <c r="M1268" s="1"/>
      <c r="N1268" s="1"/>
    </row>
    <row r="1269" spans="1:14" x14ac:dyDescent="0.2">
      <c r="A1269" s="67" t="s">
        <v>1960</v>
      </c>
      <c r="B1269" s="1" t="s">
        <v>1589</v>
      </c>
      <c r="C1269" s="1"/>
      <c r="D1269" s="1"/>
      <c r="E1269" s="54" t="s">
        <v>2468</v>
      </c>
      <c r="F1269" s="54" t="s">
        <v>2468</v>
      </c>
      <c r="G1269" s="54" t="s">
        <v>2468</v>
      </c>
      <c r="H1269" s="1"/>
      <c r="I1269" s="1"/>
      <c r="J1269" s="5">
        <f>ABS(ISERR(J1268))</f>
        <v>1</v>
      </c>
      <c r="K1269" s="5">
        <f>ABS(IF(J1269=0,"1","0"))</f>
        <v>0</v>
      </c>
      <c r="L1269" s="3">
        <v>1</v>
      </c>
      <c r="M1269" s="1" t="s">
        <v>1590</v>
      </c>
      <c r="N1269" s="1"/>
    </row>
    <row r="1270" spans="1:14" x14ac:dyDescent="0.2">
      <c r="A1270" s="1"/>
      <c r="B1270" s="1" t="s">
        <v>2467</v>
      </c>
      <c r="C1270" s="1"/>
      <c r="D1270" s="1"/>
      <c r="E1270" s="55" t="s">
        <v>1574</v>
      </c>
      <c r="F1270" s="55" t="s">
        <v>1574</v>
      </c>
      <c r="G1270" s="55" t="s">
        <v>1574</v>
      </c>
      <c r="H1270" s="1"/>
      <c r="I1270" s="1"/>
      <c r="J1270" s="1"/>
      <c r="K1270" s="1"/>
      <c r="L1270" s="3"/>
      <c r="M1270" s="1"/>
      <c r="N1270" s="1"/>
    </row>
    <row r="1271" spans="1:14" x14ac:dyDescent="0.2">
      <c r="A1271" s="1"/>
      <c r="B1271" s="361" t="s">
        <v>1591</v>
      </c>
      <c r="C1271" s="1"/>
      <c r="D1271" s="1"/>
      <c r="E1271" s="55" t="s">
        <v>807</v>
      </c>
      <c r="F1271" s="55" t="s">
        <v>1706</v>
      </c>
      <c r="G1271" s="55" t="s">
        <v>1577</v>
      </c>
      <c r="H1271" s="1"/>
      <c r="I1271" s="1"/>
      <c r="J1271" s="1"/>
      <c r="K1271" s="1"/>
      <c r="L1271" s="3"/>
      <c r="M1271" s="1"/>
      <c r="N1271" s="1"/>
    </row>
    <row r="1272" spans="1:14" x14ac:dyDescent="0.2">
      <c r="A1272" s="1"/>
      <c r="B1272" s="1" t="s">
        <v>1587</v>
      </c>
      <c r="C1272" s="1"/>
      <c r="D1272" s="1"/>
      <c r="E1272" s="55" t="s">
        <v>808</v>
      </c>
      <c r="F1272" s="55" t="s">
        <v>1575</v>
      </c>
      <c r="G1272" s="55" t="s">
        <v>1232</v>
      </c>
      <c r="H1272" s="1"/>
      <c r="I1272" s="1"/>
      <c r="J1272" s="1"/>
      <c r="K1272" s="1"/>
      <c r="L1272" s="3"/>
      <c r="M1272" s="1"/>
      <c r="N1272" s="1"/>
    </row>
    <row r="1273" spans="1:14" x14ac:dyDescent="0.2">
      <c r="A1273" s="1"/>
      <c r="B1273" s="1" t="s">
        <v>1588</v>
      </c>
      <c r="C1273" s="1"/>
      <c r="D1273" s="1"/>
      <c r="E1273" s="55" t="s">
        <v>1581</v>
      </c>
      <c r="F1273" s="55" t="s">
        <v>1576</v>
      </c>
      <c r="G1273" s="55" t="s">
        <v>1578</v>
      </c>
      <c r="H1273" s="1"/>
      <c r="I1273" s="1"/>
      <c r="J1273" s="1"/>
      <c r="K1273" s="1"/>
      <c r="L1273" s="3"/>
      <c r="M1273" s="1"/>
      <c r="N1273" s="1"/>
    </row>
    <row r="1274" spans="1:14" x14ac:dyDescent="0.2">
      <c r="A1274" s="1"/>
      <c r="B1274" s="1"/>
      <c r="C1274" s="1"/>
      <c r="D1274" s="1"/>
      <c r="E1274" s="55" t="s">
        <v>1582</v>
      </c>
      <c r="F1274" s="55" t="s">
        <v>1577</v>
      </c>
      <c r="G1274" s="55" t="s">
        <v>1579</v>
      </c>
      <c r="H1274" s="1"/>
      <c r="I1274" s="1"/>
      <c r="J1274" s="1"/>
      <c r="K1274" s="1"/>
      <c r="L1274" s="3"/>
      <c r="M1274" s="1"/>
      <c r="N1274" s="1"/>
    </row>
    <row r="1275" spans="1:14" x14ac:dyDescent="0.2">
      <c r="A1275" s="1"/>
      <c r="B1275" s="1"/>
      <c r="C1275" s="1"/>
      <c r="D1275" s="1"/>
      <c r="E1275" s="55"/>
      <c r="F1275" s="55" t="s">
        <v>1232</v>
      </c>
      <c r="G1275" s="55" t="s">
        <v>1580</v>
      </c>
      <c r="H1275" s="1"/>
      <c r="I1275" s="1"/>
      <c r="J1275" s="1"/>
      <c r="K1275" s="1"/>
      <c r="L1275" s="3"/>
      <c r="M1275" s="1"/>
      <c r="N1275" s="1"/>
    </row>
    <row r="1276" spans="1:14" x14ac:dyDescent="0.2">
      <c r="A1276" s="1"/>
      <c r="B1276" s="1"/>
      <c r="C1276" s="1"/>
      <c r="D1276" s="1"/>
      <c r="E1276" s="55"/>
      <c r="F1276" s="55" t="s">
        <v>1586</v>
      </c>
      <c r="G1276" s="55"/>
      <c r="H1276" s="1"/>
      <c r="I1276" s="1"/>
      <c r="J1276" s="1"/>
      <c r="K1276" s="1"/>
      <c r="L1276" s="3"/>
      <c r="M1276" s="1"/>
      <c r="N1276" s="1"/>
    </row>
    <row r="1277" spans="1:14" ht="13.5" thickBot="1" x14ac:dyDescent="0.25">
      <c r="A1277" s="1"/>
      <c r="B1277" s="1"/>
      <c r="C1277" s="1"/>
      <c r="E1277" s="55"/>
      <c r="F1277" s="55" t="s">
        <v>2469</v>
      </c>
      <c r="G1277" s="55"/>
      <c r="H1277" s="1"/>
      <c r="I1277" s="1"/>
      <c r="J1277" s="1"/>
      <c r="K1277" s="1"/>
      <c r="L1277" s="3"/>
      <c r="M1277" s="1"/>
      <c r="N1277" s="1"/>
    </row>
    <row r="1278" spans="1:14" ht="14.25" thickTop="1" thickBot="1" x14ac:dyDescent="0.25">
      <c r="A1278" s="1"/>
      <c r="B1278" s="1"/>
      <c r="C1278" s="1"/>
      <c r="D1278" s="1"/>
      <c r="E1278" s="357" t="s">
        <v>1583</v>
      </c>
      <c r="F1278" s="357" t="s">
        <v>1584</v>
      </c>
      <c r="G1278" s="225" t="s">
        <v>995</v>
      </c>
      <c r="H1278" s="1"/>
      <c r="I1278" s="1"/>
      <c r="J1278" s="1"/>
      <c r="K1278" s="1"/>
      <c r="L1278" s="3"/>
      <c r="M1278" s="1"/>
      <c r="N1278" s="1"/>
    </row>
    <row r="1279" spans="1:14" ht="13.5" thickTop="1" x14ac:dyDescent="0.2">
      <c r="A1279" s="1"/>
      <c r="B1279" s="82" t="s">
        <v>1033</v>
      </c>
      <c r="C1279" s="318" t="s">
        <v>995</v>
      </c>
      <c r="D1279" s="1"/>
      <c r="E1279" s="125"/>
      <c r="F1279" s="373" t="s">
        <v>1585</v>
      </c>
      <c r="G1279" s="374"/>
      <c r="H1279" s="1"/>
      <c r="I1279" s="1"/>
      <c r="J1279" s="73" t="str">
        <f>IF(C1279="x","Het juiste antwoord is:  Kosten van afscheid.","")</f>
        <v/>
      </c>
      <c r="K1279" s="1"/>
      <c r="L1279" s="3"/>
      <c r="M1279" s="1"/>
      <c r="N1279" s="1"/>
    </row>
    <row r="1280" spans="1:14" x14ac:dyDescent="0.2">
      <c r="A1280" s="1"/>
      <c r="B1280" s="1" t="str">
        <f>IF(C1279="x",J1279,"")</f>
        <v/>
      </c>
      <c r="C1280" s="1"/>
      <c r="D1280" s="1"/>
      <c r="E1280" s="1"/>
      <c r="F1280" s="1"/>
      <c r="G1280" s="1"/>
      <c r="H1280" s="1"/>
      <c r="I1280" s="1"/>
      <c r="J1280" s="1"/>
      <c r="K1280" s="1"/>
      <c r="L1280" s="3"/>
      <c r="M1280" s="1"/>
      <c r="N1280" s="1"/>
    </row>
    <row r="1281" spans="1:14" x14ac:dyDescent="0.2">
      <c r="A1281" s="14"/>
      <c r="B1281" s="14"/>
      <c r="C1281" s="14"/>
      <c r="D1281" s="180"/>
      <c r="E1281" s="14"/>
      <c r="F1281" s="14"/>
      <c r="G1281" s="14"/>
      <c r="H1281" s="14"/>
      <c r="I1281" s="14"/>
      <c r="J1281" s="1"/>
      <c r="K1281" s="1"/>
      <c r="L1281" s="3"/>
      <c r="M1281" s="1"/>
      <c r="N1281" s="1"/>
    </row>
    <row r="1282" spans="1:14" x14ac:dyDescent="0.2">
      <c r="A1282" s="1"/>
      <c r="B1282" s="1"/>
      <c r="C1282" s="1"/>
      <c r="D1282" s="1"/>
      <c r="E1282" s="1"/>
      <c r="F1282" s="1"/>
      <c r="G1282" s="1"/>
      <c r="H1282" s="1"/>
      <c r="I1282" s="1"/>
      <c r="J1282" s="1"/>
      <c r="K1282" s="1"/>
      <c r="L1282" s="3"/>
      <c r="M1282" s="1"/>
      <c r="N1282" s="1"/>
    </row>
    <row r="1283" spans="1:14" ht="26.25" thickBot="1" x14ac:dyDescent="0.25">
      <c r="A1283" s="533" t="s">
        <v>1964</v>
      </c>
      <c r="B1283" s="103" t="s">
        <v>2629</v>
      </c>
      <c r="C1283" s="1"/>
      <c r="D1283" s="102" t="s">
        <v>446</v>
      </c>
      <c r="E1283" s="102" t="s">
        <v>1623</v>
      </c>
      <c r="F1283" s="526" t="s">
        <v>2119</v>
      </c>
      <c r="G1283" s="527" t="s">
        <v>2120</v>
      </c>
      <c r="H1283" s="1"/>
      <c r="I1283" s="1"/>
      <c r="J1283" s="5" t="str">
        <f>IF(D1284="x","FOUT","")</f>
        <v/>
      </c>
      <c r="K1283" s="5">
        <f>ABS(IF(J1283="JUIST","1","0"))</f>
        <v>0</v>
      </c>
      <c r="L1283" s="3" t="s">
        <v>995</v>
      </c>
      <c r="M1283" s="1"/>
      <c r="N1283" s="1"/>
    </row>
    <row r="1284" spans="1:14" ht="13.5" thickTop="1" x14ac:dyDescent="0.2">
      <c r="A1284" s="1"/>
      <c r="B1284" s="61" t="s">
        <v>2630</v>
      </c>
      <c r="C1284" s="1"/>
      <c r="D1284" s="318" t="s">
        <v>995</v>
      </c>
      <c r="E1284" s="318" t="s">
        <v>995</v>
      </c>
      <c r="F1284" s="318" t="s">
        <v>995</v>
      </c>
      <c r="G1284" s="318" t="s">
        <v>995</v>
      </c>
      <c r="H1284" s="1"/>
      <c r="I1284" s="1"/>
      <c r="J1284" s="5" t="str">
        <f>IF(E1284="x","JUIST","")</f>
        <v/>
      </c>
      <c r="K1284" s="5">
        <f>ABS(IF(J1284="JUIST","1","0"))</f>
        <v>0</v>
      </c>
      <c r="L1284" s="3">
        <v>1</v>
      </c>
      <c r="M1284" s="1"/>
      <c r="N1284" s="1"/>
    </row>
    <row r="1285" spans="1:14" x14ac:dyDescent="0.2">
      <c r="A1285" s="1"/>
      <c r="B1285" s="1" t="s">
        <v>2631</v>
      </c>
      <c r="C1285" s="1"/>
      <c r="D1285" s="3" t="s">
        <v>475</v>
      </c>
      <c r="E1285" s="3" t="s">
        <v>476</v>
      </c>
      <c r="F1285" s="3" t="s">
        <v>477</v>
      </c>
      <c r="G1285" s="3" t="s">
        <v>478</v>
      </c>
      <c r="H1285" s="1"/>
      <c r="I1285" s="1"/>
      <c r="J1285" s="5" t="str">
        <f>IF(F1284="x","FOUT","")</f>
        <v/>
      </c>
      <c r="K1285" s="5">
        <f>ABS(IF(J1285="JUIST","1","0"))</f>
        <v>0</v>
      </c>
      <c r="L1285" s="3" t="s">
        <v>995</v>
      </c>
      <c r="M1285" s="1"/>
      <c r="N1285" s="1"/>
    </row>
    <row r="1286" spans="1:14" x14ac:dyDescent="0.2">
      <c r="A1286" s="1"/>
      <c r="B1286" s="1" t="s">
        <v>995</v>
      </c>
      <c r="D1286" s="1"/>
      <c r="E1286" s="1"/>
      <c r="F1286" s="1"/>
      <c r="G1286" s="1"/>
      <c r="H1286" s="1"/>
      <c r="I1286" s="1"/>
      <c r="J1286" s="5" t="str">
        <f>IF(G1284="x","FOUT","")</f>
        <v/>
      </c>
      <c r="K1286" s="5">
        <f>ABS(IF(J1286="JUIST","1","0"))</f>
        <v>0</v>
      </c>
      <c r="L1286" s="3" t="s">
        <v>995</v>
      </c>
      <c r="M1286" s="1"/>
      <c r="N1286" s="1"/>
    </row>
    <row r="1287" spans="1:14" x14ac:dyDescent="0.2">
      <c r="A1287" s="1"/>
      <c r="B1287" s="82" t="s">
        <v>1033</v>
      </c>
      <c r="C1287" s="318" t="s">
        <v>995</v>
      </c>
      <c r="D1287" s="3"/>
      <c r="E1287" s="3"/>
      <c r="F1287" s="3"/>
      <c r="G1287" s="1"/>
      <c r="H1287" s="1"/>
      <c r="I1287" s="1"/>
      <c r="J1287" s="73" t="str">
        <f>IF(C1287="x","Het juiste antwoord is:  B.","")</f>
        <v/>
      </c>
      <c r="K1287" s="1"/>
      <c r="L1287" s="3"/>
      <c r="M1287" s="1"/>
      <c r="N1287" s="1"/>
    </row>
    <row r="1288" spans="1:14" x14ac:dyDescent="0.2">
      <c r="A1288" s="1"/>
      <c r="B1288" s="17" t="str">
        <f>IF(C1287="x",J1287,"")</f>
        <v/>
      </c>
      <c r="C1288" s="1"/>
      <c r="D1288" s="1"/>
      <c r="E1288" s="1"/>
      <c r="F1288" s="1"/>
      <c r="G1288" s="1"/>
      <c r="H1288" s="1"/>
      <c r="I1288" s="1"/>
      <c r="J1288" s="1"/>
      <c r="K1288" s="1"/>
      <c r="L1288" s="3"/>
      <c r="M1288" s="1"/>
      <c r="N1288" s="1"/>
    </row>
    <row r="1289" spans="1:14" x14ac:dyDescent="0.2">
      <c r="A1289" s="14"/>
      <c r="B1289" s="14"/>
      <c r="C1289" s="14"/>
      <c r="D1289" s="180"/>
      <c r="E1289" s="14"/>
      <c r="F1289" s="14"/>
      <c r="G1289" s="14"/>
      <c r="H1289" s="14"/>
      <c r="I1289" s="14"/>
      <c r="J1289" s="1"/>
      <c r="K1289" s="1"/>
      <c r="L1289" s="3"/>
      <c r="M1289" s="1"/>
      <c r="N1289" s="1"/>
    </row>
    <row r="1290" spans="1:14" x14ac:dyDescent="0.2">
      <c r="A1290" s="1"/>
      <c r="B1290" s="1"/>
      <c r="C1290" s="1"/>
      <c r="D1290" s="1"/>
      <c r="E1290" s="1"/>
      <c r="F1290" s="1"/>
      <c r="G1290" s="1"/>
      <c r="H1290" s="1"/>
      <c r="I1290" s="1"/>
      <c r="J1290" s="1"/>
      <c r="K1290" s="1"/>
      <c r="L1290" s="3"/>
      <c r="M1290" s="1"/>
      <c r="N1290" s="1"/>
    </row>
    <row r="1291" spans="1:14" x14ac:dyDescent="0.2">
      <c r="A1291" s="67" t="s">
        <v>1965</v>
      </c>
      <c r="B1291" s="67" t="s">
        <v>2724</v>
      </c>
      <c r="C1291" s="1"/>
      <c r="D1291" s="1"/>
      <c r="E1291" s="1"/>
      <c r="F1291" s="1"/>
      <c r="G1291" s="1"/>
      <c r="H1291" s="1"/>
      <c r="I1291" s="1"/>
      <c r="J1291" s="1"/>
      <c r="K1291" s="1"/>
      <c r="L1291" s="3"/>
      <c r="M1291" s="1"/>
      <c r="N1291" s="1"/>
    </row>
    <row r="1292" spans="1:14" x14ac:dyDescent="0.2">
      <c r="A1292" s="1"/>
      <c r="B1292" s="67" t="s">
        <v>2725</v>
      </c>
      <c r="C1292" s="1"/>
      <c r="D1292" s="1"/>
      <c r="E1292" s="1"/>
      <c r="F1292" s="1"/>
      <c r="G1292" s="1"/>
      <c r="H1292" s="1"/>
      <c r="I1292" s="1"/>
      <c r="J1292" s="1"/>
      <c r="K1292" s="1"/>
      <c r="L1292" s="3"/>
      <c r="M1292" s="1"/>
      <c r="N1292" s="1"/>
    </row>
    <row r="1293" spans="1:14" x14ac:dyDescent="0.2">
      <c r="A1293" s="1"/>
      <c r="B1293" s="67" t="s">
        <v>2726</v>
      </c>
      <c r="C1293" s="1"/>
      <c r="D1293" s="1"/>
      <c r="E1293" s="1"/>
      <c r="F1293" s="1"/>
      <c r="G1293" s="1"/>
      <c r="H1293" s="1"/>
      <c r="I1293" s="1"/>
      <c r="J1293" s="1"/>
      <c r="K1293" s="1"/>
      <c r="L1293" s="3"/>
      <c r="M1293" s="1"/>
      <c r="N1293" s="1"/>
    </row>
    <row r="1294" spans="1:14" x14ac:dyDescent="0.2">
      <c r="A1294" s="1"/>
      <c r="B1294" s="67" t="s">
        <v>2727</v>
      </c>
      <c r="C1294" s="1"/>
      <c r="D1294" s="1"/>
      <c r="E1294" s="1"/>
      <c r="F1294" s="1"/>
      <c r="G1294" s="1"/>
      <c r="H1294" s="1"/>
      <c r="I1294" s="1"/>
      <c r="J1294" s="1"/>
      <c r="K1294" s="1"/>
      <c r="L1294" s="3"/>
      <c r="M1294" s="1"/>
      <c r="N1294" s="1"/>
    </row>
    <row r="1295" spans="1:14" x14ac:dyDescent="0.2">
      <c r="A1295" s="1"/>
      <c r="B1295" s="67" t="s">
        <v>2728</v>
      </c>
      <c r="C1295" s="1"/>
      <c r="D1295" s="1"/>
      <c r="E1295" s="1"/>
      <c r="F1295" s="1"/>
      <c r="G1295" s="1"/>
      <c r="H1295" s="1"/>
      <c r="I1295" s="1"/>
      <c r="J1295" s="1"/>
      <c r="K1295" s="1"/>
      <c r="M1295" s="3" t="s">
        <v>1599</v>
      </c>
      <c r="N1295" s="1"/>
    </row>
    <row r="1296" spans="1:14" x14ac:dyDescent="0.2">
      <c r="A1296" s="1"/>
      <c r="B1296" s="1" t="s">
        <v>1597</v>
      </c>
      <c r="C1296" s="1"/>
      <c r="D1296" s="1"/>
      <c r="E1296" s="1"/>
      <c r="F1296" s="1"/>
      <c r="G1296" s="1"/>
      <c r="H1296" s="1"/>
      <c r="I1296" s="1"/>
      <c r="J1296" s="1"/>
      <c r="K1296" s="1"/>
      <c r="L1296" s="3"/>
      <c r="M1296" s="1"/>
      <c r="N1296" s="1"/>
    </row>
    <row r="1297" spans="1:14" x14ac:dyDescent="0.2">
      <c r="A1297" s="1"/>
      <c r="B1297" s="1" t="s">
        <v>1598</v>
      </c>
      <c r="C1297" s="1"/>
      <c r="D1297" s="375" t="s">
        <v>1595</v>
      </c>
      <c r="E1297" s="110"/>
      <c r="F1297" s="318" t="s">
        <v>995</v>
      </c>
      <c r="G1297" s="3"/>
      <c r="H1297" s="1"/>
      <c r="I1297" s="1"/>
      <c r="J1297" s="5" t="str">
        <f>IF(F1297="x","JUIST","")</f>
        <v/>
      </c>
      <c r="K1297" s="5">
        <f>ABS(IF(J1297="JUIST","1","0"))</f>
        <v>0</v>
      </c>
      <c r="L1297" s="3">
        <v>1</v>
      </c>
      <c r="M1297" s="3" t="s">
        <v>304</v>
      </c>
      <c r="N1297" s="1"/>
    </row>
    <row r="1298" spans="1:14" x14ac:dyDescent="0.2">
      <c r="A1298" s="1"/>
      <c r="B1298" s="1" t="s">
        <v>1594</v>
      </c>
      <c r="C1298" s="1"/>
      <c r="D1298" s="375" t="s">
        <v>1596</v>
      </c>
      <c r="E1298" s="110"/>
      <c r="F1298" s="318" t="s">
        <v>995</v>
      </c>
      <c r="G1298" s="3" t="str">
        <f>IF(F1298="x",M1295,"")</f>
        <v/>
      </c>
      <c r="H1298" s="1"/>
      <c r="I1298" s="1"/>
      <c r="J1298" s="5" t="str">
        <f>IF(F1298="x","FOUT","")</f>
        <v/>
      </c>
      <c r="K1298" s="5">
        <f>ABS(IF(J1298="JUIST","1","0"))</f>
        <v>0</v>
      </c>
      <c r="M1298" s="3" t="s">
        <v>306</v>
      </c>
      <c r="N1298" s="1"/>
    </row>
    <row r="1299" spans="1:14" x14ac:dyDescent="0.2">
      <c r="A1299" s="1"/>
      <c r="B1299" s="1"/>
      <c r="C1299" s="1"/>
      <c r="D1299" s="1"/>
      <c r="E1299" s="1"/>
      <c r="F1299" s="1"/>
      <c r="G1299" s="1"/>
      <c r="H1299" s="1"/>
      <c r="I1299" s="1"/>
      <c r="J1299" s="1"/>
      <c r="K1299" s="1"/>
      <c r="L1299" s="3"/>
      <c r="M1299" s="1"/>
      <c r="N1299" s="1"/>
    </row>
    <row r="1300" spans="1:14" x14ac:dyDescent="0.2">
      <c r="A1300" s="14"/>
      <c r="B1300" s="14"/>
      <c r="C1300" s="14"/>
      <c r="D1300" s="180"/>
      <c r="E1300" s="14"/>
      <c r="F1300" s="14"/>
      <c r="G1300" s="14"/>
      <c r="H1300" s="14"/>
      <c r="I1300" s="14"/>
      <c r="J1300" s="1"/>
      <c r="K1300" s="1"/>
      <c r="L1300" s="3"/>
      <c r="M1300" s="1"/>
      <c r="N1300" s="1"/>
    </row>
    <row r="1301" spans="1:14" x14ac:dyDescent="0.2">
      <c r="A1301" s="1"/>
      <c r="B1301" s="1"/>
      <c r="C1301" s="1"/>
      <c r="D1301" s="1"/>
      <c r="E1301" s="1"/>
      <c r="F1301" s="1"/>
      <c r="G1301" s="1"/>
      <c r="H1301" s="1"/>
      <c r="I1301" s="1"/>
      <c r="J1301" s="1"/>
      <c r="K1301" s="1"/>
      <c r="L1301" s="3"/>
      <c r="M1301" s="1"/>
      <c r="N1301" s="1"/>
    </row>
    <row r="1302" spans="1:14" x14ac:dyDescent="0.2">
      <c r="A1302" s="67" t="s">
        <v>1966</v>
      </c>
      <c r="B1302" s="1" t="s">
        <v>1608</v>
      </c>
      <c r="C1302" s="6" t="s">
        <v>1601</v>
      </c>
      <c r="D1302" s="10" t="s">
        <v>995</v>
      </c>
      <c r="E1302" s="368" t="str">
        <f>IF(C1309="x",M1302,"")</f>
        <v/>
      </c>
      <c r="F1302" s="1"/>
      <c r="G1302" s="1"/>
      <c r="H1302" s="1"/>
      <c r="I1302" s="1"/>
      <c r="J1302" s="5" t="str">
        <f>IF(D1302="x","FOUT","")</f>
        <v/>
      </c>
      <c r="K1302" s="5">
        <f t="shared" ref="K1302:K1307" si="4">ABS(IF(J1302="JUIST","1","0"))</f>
        <v>0</v>
      </c>
      <c r="L1302" s="3" t="s">
        <v>995</v>
      </c>
      <c r="M1302" s="1" t="s">
        <v>306</v>
      </c>
      <c r="N1302" s="1"/>
    </row>
    <row r="1303" spans="1:14" x14ac:dyDescent="0.2">
      <c r="A1303" s="1"/>
      <c r="B1303" s="1" t="s">
        <v>1604</v>
      </c>
      <c r="C1303" s="6" t="s">
        <v>1602</v>
      </c>
      <c r="D1303" s="10" t="s">
        <v>995</v>
      </c>
      <c r="E1303" s="368" t="str">
        <f>IF(C1309="x",M1303,"")</f>
        <v/>
      </c>
      <c r="F1303" s="1"/>
      <c r="G1303" s="1"/>
      <c r="H1303" s="1"/>
      <c r="I1303" s="1"/>
      <c r="J1303" s="5" t="str">
        <f>IF(D1303="x","FOUT","")</f>
        <v/>
      </c>
      <c r="K1303" s="5">
        <f t="shared" si="4"/>
        <v>0</v>
      </c>
      <c r="L1303" s="3" t="s">
        <v>995</v>
      </c>
      <c r="M1303" s="1" t="s">
        <v>306</v>
      </c>
      <c r="N1303" s="1"/>
    </row>
    <row r="1304" spans="1:14" x14ac:dyDescent="0.2">
      <c r="A1304" s="1"/>
      <c r="B1304" s="1"/>
      <c r="C1304" s="6" t="s">
        <v>1603</v>
      </c>
      <c r="D1304" s="376" t="s">
        <v>995</v>
      </c>
      <c r="E1304" s="368" t="str">
        <f>IF(C1309="x",M1304,"")</f>
        <v/>
      </c>
      <c r="F1304" s="1"/>
      <c r="G1304" s="1"/>
      <c r="H1304" s="1"/>
      <c r="I1304" s="1"/>
      <c r="J1304" s="5" t="str">
        <f>IF(D1304="x","JUIST","")</f>
        <v/>
      </c>
      <c r="K1304" s="5">
        <f t="shared" si="4"/>
        <v>0</v>
      </c>
      <c r="L1304" s="3">
        <v>1</v>
      </c>
      <c r="M1304" s="1" t="s">
        <v>304</v>
      </c>
      <c r="N1304" s="1"/>
    </row>
    <row r="1305" spans="1:14" x14ac:dyDescent="0.2">
      <c r="A1305" s="1"/>
      <c r="B1305" s="1"/>
      <c r="C1305" s="6" t="s">
        <v>1605</v>
      </c>
      <c r="D1305" s="10" t="s">
        <v>995</v>
      </c>
      <c r="E1305" s="368" t="str">
        <f>IF(C1309="x",M1305,"")</f>
        <v/>
      </c>
      <c r="F1305" s="1"/>
      <c r="G1305" s="1"/>
      <c r="H1305" s="1"/>
      <c r="I1305" s="1"/>
      <c r="J1305" s="5" t="str">
        <f>IF(D1305="x","FOUT","")</f>
        <v/>
      </c>
      <c r="K1305" s="5">
        <f t="shared" si="4"/>
        <v>0</v>
      </c>
      <c r="L1305" s="3"/>
      <c r="M1305" s="1" t="s">
        <v>306</v>
      </c>
      <c r="N1305" s="1"/>
    </row>
    <row r="1306" spans="1:14" x14ac:dyDescent="0.2">
      <c r="A1306" s="1"/>
      <c r="B1306" s="1"/>
      <c r="C1306" s="6" t="s">
        <v>1606</v>
      </c>
      <c r="D1306" s="10" t="s">
        <v>995</v>
      </c>
      <c r="E1306" s="368" t="str">
        <f>IF(C1309="x",M1306,"")</f>
        <v/>
      </c>
      <c r="F1306" s="1"/>
      <c r="G1306" s="1"/>
      <c r="H1306" s="1"/>
      <c r="I1306" s="1"/>
      <c r="J1306" s="5" t="str">
        <f>IF(D1306="x","FOUT","")</f>
        <v/>
      </c>
      <c r="K1306" s="5">
        <f t="shared" si="4"/>
        <v>0</v>
      </c>
      <c r="L1306" s="3"/>
      <c r="M1306" s="1" t="s">
        <v>306</v>
      </c>
      <c r="N1306" s="1"/>
    </row>
    <row r="1307" spans="1:14" x14ac:dyDescent="0.2">
      <c r="A1307" s="1"/>
      <c r="B1307" s="1"/>
      <c r="C1307" s="6" t="s">
        <v>1607</v>
      </c>
      <c r="D1307" s="10" t="s">
        <v>995</v>
      </c>
      <c r="E1307" s="368" t="str">
        <f>IF(C1309="x",M1307,"")</f>
        <v/>
      </c>
      <c r="F1307" s="1"/>
      <c r="G1307" s="1"/>
      <c r="H1307" s="1"/>
      <c r="I1307" s="1"/>
      <c r="J1307" s="5" t="str">
        <f>IF(D1307="x","FOUT","")</f>
        <v/>
      </c>
      <c r="K1307" s="5">
        <f t="shared" si="4"/>
        <v>0</v>
      </c>
      <c r="L1307" s="3"/>
      <c r="M1307" s="1" t="s">
        <v>306</v>
      </c>
      <c r="N1307" s="1"/>
    </row>
    <row r="1308" spans="1:14" x14ac:dyDescent="0.2">
      <c r="A1308" s="1"/>
      <c r="B1308" s="1"/>
      <c r="C1308" s="1"/>
      <c r="D1308" s="1"/>
      <c r="E1308" s="1"/>
      <c r="F1308" s="1"/>
      <c r="G1308" s="1"/>
      <c r="H1308" s="1"/>
      <c r="I1308" s="1"/>
      <c r="J1308" s="1"/>
      <c r="K1308" s="1"/>
      <c r="L1308" s="3"/>
      <c r="M1308" s="1"/>
      <c r="N1308" s="1"/>
    </row>
    <row r="1309" spans="1:14" x14ac:dyDescent="0.2">
      <c r="A1309" s="1"/>
      <c r="B1309" s="82" t="s">
        <v>1033</v>
      </c>
      <c r="C1309" s="318" t="s">
        <v>995</v>
      </c>
      <c r="D1309" s="1"/>
      <c r="E1309" s="1"/>
      <c r="F1309" s="1"/>
      <c r="G1309" s="1"/>
      <c r="H1309" s="1"/>
      <c r="I1309" s="1"/>
      <c r="J1309" s="1"/>
      <c r="K1309" s="1"/>
      <c r="L1309" s="3"/>
      <c r="M1309" s="1"/>
      <c r="N1309" s="1"/>
    </row>
    <row r="1310" spans="1:14" x14ac:dyDescent="0.2">
      <c r="A1310" s="1"/>
      <c r="B1310" s="1"/>
      <c r="C1310" s="1"/>
      <c r="D1310" s="1"/>
      <c r="E1310" s="1"/>
      <c r="F1310" s="1"/>
      <c r="G1310" s="1"/>
      <c r="H1310" s="1"/>
      <c r="I1310" s="1"/>
      <c r="J1310" s="1"/>
      <c r="K1310" s="1"/>
      <c r="L1310" s="3"/>
      <c r="M1310" s="1"/>
      <c r="N1310" s="1"/>
    </row>
    <row r="1311" spans="1:14" x14ac:dyDescent="0.2">
      <c r="A1311" s="14"/>
      <c r="B1311" s="14"/>
      <c r="C1311" s="14"/>
      <c r="D1311" s="180"/>
      <c r="E1311" s="14"/>
      <c r="F1311" s="14"/>
      <c r="G1311" s="14"/>
      <c r="H1311" s="14"/>
      <c r="I1311" s="14"/>
      <c r="J1311" s="1"/>
      <c r="K1311" s="1"/>
      <c r="L1311" s="3"/>
      <c r="M1311" s="1"/>
      <c r="N1311" s="1"/>
    </row>
    <row r="1312" spans="1:14" x14ac:dyDescent="0.2">
      <c r="A1312" s="1"/>
      <c r="B1312" s="1"/>
      <c r="C1312" s="1"/>
      <c r="D1312" s="1"/>
      <c r="E1312" s="1"/>
      <c r="F1312" s="1"/>
      <c r="G1312" s="1"/>
      <c r="H1312" s="1"/>
      <c r="I1312" s="1"/>
      <c r="J1312" s="1"/>
      <c r="K1312" s="1"/>
      <c r="L1312" s="3"/>
      <c r="M1312" s="1"/>
      <c r="N1312" s="1"/>
    </row>
    <row r="1313" spans="1:14" ht="26.25" thickBot="1" x14ac:dyDescent="0.25">
      <c r="A1313" s="533" t="s">
        <v>1967</v>
      </c>
      <c r="B1313" s="103" t="s">
        <v>2470</v>
      </c>
      <c r="C1313" s="1"/>
      <c r="D1313" s="102" t="s">
        <v>446</v>
      </c>
      <c r="E1313" s="102" t="s">
        <v>1623</v>
      </c>
      <c r="F1313" s="526" t="s">
        <v>2119</v>
      </c>
      <c r="G1313" s="527" t="s">
        <v>2120</v>
      </c>
      <c r="H1313" s="1"/>
      <c r="I1313" s="1"/>
      <c r="J1313" s="5" t="str">
        <f>IF(D1314="x","FOUT","")</f>
        <v/>
      </c>
      <c r="K1313" s="5">
        <f>ABS(IF(J1313="JUIST","1","0"))</f>
        <v>0</v>
      </c>
      <c r="L1313" s="3" t="s">
        <v>995</v>
      </c>
      <c r="M1313" s="1"/>
      <c r="N1313" s="1"/>
    </row>
    <row r="1314" spans="1:14" ht="13.5" thickTop="1" x14ac:dyDescent="0.2">
      <c r="A1314" s="1"/>
      <c r="B1314" s="61" t="s">
        <v>2471</v>
      </c>
      <c r="C1314" s="1"/>
      <c r="D1314" s="318" t="s">
        <v>995</v>
      </c>
      <c r="E1314" s="318" t="s">
        <v>995</v>
      </c>
      <c r="F1314" s="318" t="s">
        <v>995</v>
      </c>
      <c r="G1314" s="318" t="s">
        <v>995</v>
      </c>
      <c r="H1314" s="1"/>
      <c r="I1314" s="1"/>
      <c r="J1314" s="5" t="str">
        <f>IF(E1314="x","JUIST","")</f>
        <v/>
      </c>
      <c r="K1314" s="5">
        <f>ABS(IF(J1314="JUIST","1","0"))</f>
        <v>0</v>
      </c>
      <c r="L1314" s="3">
        <v>1</v>
      </c>
      <c r="M1314" s="1"/>
      <c r="N1314" s="1"/>
    </row>
    <row r="1315" spans="1:14" x14ac:dyDescent="0.2">
      <c r="A1315" s="1"/>
      <c r="B1315" s="1" t="s">
        <v>995</v>
      </c>
      <c r="C1315" s="1"/>
      <c r="D1315" s="3" t="s">
        <v>475</v>
      </c>
      <c r="E1315" s="3" t="s">
        <v>476</v>
      </c>
      <c r="F1315" s="3" t="s">
        <v>477</v>
      </c>
      <c r="G1315" s="3" t="s">
        <v>478</v>
      </c>
      <c r="H1315" s="1"/>
      <c r="I1315" s="1"/>
      <c r="J1315" s="5" t="str">
        <f>IF(F1314="x","FOUT","")</f>
        <v/>
      </c>
      <c r="K1315" s="5">
        <f>ABS(IF(J1315="JUIST","1","0"))</f>
        <v>0</v>
      </c>
      <c r="L1315" s="3" t="s">
        <v>995</v>
      </c>
      <c r="M1315" s="1"/>
      <c r="N1315" s="1"/>
    </row>
    <row r="1316" spans="1:14" x14ac:dyDescent="0.2">
      <c r="A1316" s="1"/>
      <c r="B1316" s="1" t="s">
        <v>995</v>
      </c>
      <c r="D1316" s="1"/>
      <c r="E1316" s="1"/>
      <c r="F1316" s="1"/>
      <c r="G1316" s="1"/>
      <c r="H1316" s="1"/>
      <c r="I1316" s="1"/>
      <c r="J1316" s="5" t="str">
        <f>IF(G1314="x","FOUT","")</f>
        <v/>
      </c>
      <c r="K1316" s="5">
        <f>ABS(IF(J1316="JUIST","1","0"))</f>
        <v>0</v>
      </c>
      <c r="L1316" s="3" t="s">
        <v>995</v>
      </c>
      <c r="M1316" s="1"/>
      <c r="N1316" s="1"/>
    </row>
    <row r="1317" spans="1:14" x14ac:dyDescent="0.2">
      <c r="A1317" s="1"/>
      <c r="B1317" s="82" t="s">
        <v>1033</v>
      </c>
      <c r="C1317" s="318" t="s">
        <v>995</v>
      </c>
      <c r="D1317" s="3"/>
      <c r="E1317" s="3"/>
      <c r="F1317" s="3"/>
      <c r="G1317" s="1"/>
      <c r="H1317" s="1"/>
      <c r="I1317" s="1"/>
      <c r="J1317" s="73" t="str">
        <f>IF(C1317="x","Het juiste antwoord is:  B.","")</f>
        <v/>
      </c>
      <c r="K1317" s="1"/>
      <c r="L1317" s="3"/>
      <c r="M1317" s="1"/>
      <c r="N1317" s="1"/>
    </row>
    <row r="1318" spans="1:14" x14ac:dyDescent="0.2">
      <c r="A1318" s="1"/>
      <c r="B1318" s="17" t="str">
        <f>IF(C1317="x",J1317,"")</f>
        <v/>
      </c>
      <c r="C1318" s="1"/>
      <c r="D1318" s="1"/>
      <c r="E1318" s="1"/>
      <c r="F1318" s="1"/>
      <c r="G1318" s="1"/>
      <c r="H1318" s="1"/>
      <c r="I1318" s="1"/>
      <c r="J1318" s="1"/>
      <c r="K1318" s="1"/>
      <c r="L1318" s="3"/>
      <c r="M1318" s="1"/>
      <c r="N1318" s="1"/>
    </row>
    <row r="1319" spans="1:14" x14ac:dyDescent="0.2">
      <c r="A1319" s="14"/>
      <c r="B1319" s="14"/>
      <c r="C1319" s="14"/>
      <c r="D1319" s="180"/>
      <c r="E1319" s="14"/>
      <c r="F1319" s="14"/>
      <c r="G1319" s="14"/>
      <c r="H1319" s="14"/>
      <c r="I1319" s="14"/>
      <c r="J1319" s="1"/>
      <c r="K1319" s="1"/>
      <c r="L1319" s="3"/>
      <c r="M1319" s="1"/>
      <c r="N1319" s="1"/>
    </row>
    <row r="1320" spans="1:14" x14ac:dyDescent="0.2">
      <c r="A1320" s="1"/>
      <c r="B1320" s="1"/>
      <c r="C1320" s="1"/>
      <c r="D1320" s="1"/>
      <c r="E1320" s="1"/>
      <c r="F1320" s="1"/>
      <c r="G1320" s="1"/>
      <c r="H1320" s="1"/>
      <c r="I1320" s="1"/>
      <c r="J1320" s="1"/>
      <c r="K1320" s="1"/>
      <c r="L1320" s="3"/>
      <c r="M1320" s="1"/>
      <c r="N1320" s="1"/>
    </row>
    <row r="1321" spans="1:14" ht="26.25" thickBot="1" x14ac:dyDescent="0.25">
      <c r="A1321" s="533" t="s">
        <v>1968</v>
      </c>
      <c r="B1321" s="103" t="s">
        <v>2768</v>
      </c>
      <c r="C1321" s="1"/>
      <c r="D1321" s="102" t="s">
        <v>446</v>
      </c>
      <c r="E1321" s="102" t="s">
        <v>1623</v>
      </c>
      <c r="F1321" s="526" t="s">
        <v>2119</v>
      </c>
      <c r="G1321" s="527" t="s">
        <v>2120</v>
      </c>
      <c r="H1321" s="1"/>
      <c r="I1321" s="1"/>
      <c r="J1321" s="5" t="str">
        <f>IF(D1322="x","FOUT","")</f>
        <v/>
      </c>
      <c r="K1321" s="5">
        <f>ABS(IF(J1321="JUIST","1","0"))</f>
        <v>0</v>
      </c>
      <c r="L1321" s="3" t="s">
        <v>995</v>
      </c>
      <c r="M1321" s="1"/>
      <c r="N1321" s="1"/>
    </row>
    <row r="1322" spans="1:14" ht="13.5" thickTop="1" x14ac:dyDescent="0.2">
      <c r="A1322" s="1"/>
      <c r="B1322" s="61" t="s">
        <v>2766</v>
      </c>
      <c r="C1322" s="1"/>
      <c r="D1322" s="318" t="s">
        <v>995</v>
      </c>
      <c r="E1322" s="318" t="s">
        <v>995</v>
      </c>
      <c r="F1322" s="318" t="s">
        <v>995</v>
      </c>
      <c r="G1322" s="318" t="s">
        <v>995</v>
      </c>
      <c r="H1322" s="1"/>
      <c r="I1322" s="1"/>
      <c r="J1322" s="5" t="str">
        <f>IF(E1322="x","FOUT","")</f>
        <v/>
      </c>
      <c r="K1322" s="5">
        <f>ABS(IF(J1322="JUIST","1","0"))</f>
        <v>0</v>
      </c>
      <c r="L1322" s="3" t="s">
        <v>995</v>
      </c>
      <c r="M1322" s="1"/>
      <c r="N1322" s="1"/>
    </row>
    <row r="1323" spans="1:14" x14ac:dyDescent="0.2">
      <c r="A1323" s="1"/>
      <c r="B1323" s="67" t="s">
        <v>2767</v>
      </c>
      <c r="C1323" s="1"/>
      <c r="D1323" s="3" t="s">
        <v>475</v>
      </c>
      <c r="E1323" s="3" t="s">
        <v>476</v>
      </c>
      <c r="F1323" s="3" t="s">
        <v>477</v>
      </c>
      <c r="G1323" s="3" t="s">
        <v>478</v>
      </c>
      <c r="H1323" s="1"/>
      <c r="I1323" s="1"/>
      <c r="J1323" s="5" t="str">
        <f>IF(F1322="x","FOUT","")</f>
        <v/>
      </c>
      <c r="K1323" s="5">
        <f>ABS(IF(J1323="JUIST","1","0"))</f>
        <v>0</v>
      </c>
      <c r="L1323" s="3" t="s">
        <v>995</v>
      </c>
      <c r="M1323" s="1"/>
      <c r="N1323" s="1"/>
    </row>
    <row r="1324" spans="1:14" x14ac:dyDescent="0.2">
      <c r="A1324" s="1"/>
      <c r="B1324" s="1" t="s">
        <v>995</v>
      </c>
      <c r="D1324" s="1"/>
      <c r="E1324" s="1"/>
      <c r="F1324" s="1"/>
      <c r="G1324" s="1"/>
      <c r="H1324" s="1"/>
      <c r="I1324" s="1"/>
      <c r="J1324" s="5" t="str">
        <f>IF(G1322="x","JUIST","")</f>
        <v/>
      </c>
      <c r="K1324" s="5">
        <f>ABS(IF(J1324="JUIST","1","0"))</f>
        <v>0</v>
      </c>
      <c r="L1324" s="3">
        <v>1</v>
      </c>
      <c r="M1324" s="1"/>
      <c r="N1324" s="1"/>
    </row>
    <row r="1325" spans="1:14" x14ac:dyDescent="0.2">
      <c r="A1325" s="1"/>
      <c r="B1325" s="82" t="s">
        <v>1033</v>
      </c>
      <c r="C1325" s="318" t="s">
        <v>995</v>
      </c>
      <c r="D1325" s="3"/>
      <c r="E1325" s="3"/>
      <c r="F1325" s="3"/>
      <c r="G1325" s="1"/>
      <c r="H1325" s="1"/>
      <c r="I1325" s="1"/>
      <c r="J1325" s="73" t="str">
        <f>IF(C1325="x","Het juiste antwoord is:  D.","")</f>
        <v/>
      </c>
      <c r="K1325" s="1"/>
      <c r="L1325" s="3"/>
      <c r="M1325" s="1"/>
      <c r="N1325" s="1"/>
    </row>
    <row r="1326" spans="1:14" x14ac:dyDescent="0.2">
      <c r="A1326" s="1"/>
      <c r="B1326" s="17" t="str">
        <f>IF(C1325="x",J1325,"")</f>
        <v/>
      </c>
      <c r="C1326" s="1"/>
      <c r="D1326" s="1"/>
      <c r="E1326" s="1"/>
      <c r="F1326" s="1"/>
      <c r="G1326" s="1"/>
      <c r="H1326" s="1"/>
      <c r="I1326" s="1"/>
      <c r="J1326" s="1"/>
      <c r="K1326" s="1"/>
      <c r="L1326" s="3"/>
      <c r="M1326" s="1"/>
      <c r="N1326" s="1"/>
    </row>
    <row r="1327" spans="1:14" x14ac:dyDescent="0.2">
      <c r="A1327" s="14"/>
      <c r="B1327" s="14"/>
      <c r="C1327" s="14"/>
      <c r="D1327" s="180"/>
      <c r="E1327" s="14"/>
      <c r="F1327" s="14"/>
      <c r="G1327" s="14"/>
      <c r="H1327" s="14"/>
      <c r="I1327" s="14"/>
      <c r="J1327" s="1"/>
      <c r="K1327" s="1"/>
      <c r="L1327" s="3"/>
      <c r="M1327" s="1"/>
      <c r="N1327" s="1"/>
    </row>
    <row r="1328" spans="1:14" x14ac:dyDescent="0.2">
      <c r="A1328" s="1"/>
      <c r="B1328" s="1"/>
      <c r="C1328" s="1"/>
      <c r="D1328" s="1"/>
      <c r="E1328" s="1"/>
      <c r="F1328" s="1"/>
      <c r="G1328" s="1"/>
      <c r="H1328" s="1"/>
      <c r="I1328" s="1"/>
      <c r="J1328" s="1"/>
      <c r="K1328" s="1"/>
      <c r="L1328" s="3"/>
      <c r="M1328" s="1"/>
      <c r="N1328" s="1"/>
    </row>
    <row r="1329" spans="1:14" ht="26.25" thickBot="1" x14ac:dyDescent="0.25">
      <c r="A1329" s="533" t="s">
        <v>1969</v>
      </c>
      <c r="B1329" s="103" t="s">
        <v>2769</v>
      </c>
      <c r="C1329" s="1"/>
      <c r="D1329" s="102" t="s">
        <v>446</v>
      </c>
      <c r="E1329" s="102" t="s">
        <v>1623</v>
      </c>
      <c r="F1329" s="526" t="s">
        <v>2119</v>
      </c>
      <c r="G1329" s="527" t="s">
        <v>2120</v>
      </c>
      <c r="H1329" s="1"/>
      <c r="I1329" s="1"/>
      <c r="J1329" s="5" t="str">
        <f>IF(D1330="x","FOUT","")</f>
        <v/>
      </c>
      <c r="K1329" s="5">
        <f>ABS(IF(J1329="JUIST","1","0"))</f>
        <v>0</v>
      </c>
      <c r="L1329" s="3" t="s">
        <v>995</v>
      </c>
      <c r="M1329" s="1"/>
      <c r="N1329" s="1"/>
    </row>
    <row r="1330" spans="1:14" ht="13.5" thickTop="1" x14ac:dyDescent="0.2">
      <c r="A1330" s="1"/>
      <c r="B1330" s="61" t="s">
        <v>2472</v>
      </c>
      <c r="C1330" s="1"/>
      <c r="D1330" s="318" t="s">
        <v>995</v>
      </c>
      <c r="E1330" s="318" t="s">
        <v>995</v>
      </c>
      <c r="F1330" s="318" t="s">
        <v>995</v>
      </c>
      <c r="G1330" s="318" t="s">
        <v>995</v>
      </c>
      <c r="H1330" s="1"/>
      <c r="I1330" s="1"/>
      <c r="J1330" s="5" t="str">
        <f>IF(E1330="x","FOUT","")</f>
        <v/>
      </c>
      <c r="K1330" s="5">
        <f>ABS(IF(J1330="JUIST","1","0"))</f>
        <v>0</v>
      </c>
      <c r="L1330" s="3" t="s">
        <v>995</v>
      </c>
      <c r="M1330" s="1"/>
      <c r="N1330" s="1"/>
    </row>
    <row r="1331" spans="1:14" x14ac:dyDescent="0.2">
      <c r="A1331" s="1"/>
      <c r="B1331" s="67" t="s">
        <v>2770</v>
      </c>
      <c r="C1331" s="1"/>
      <c r="D1331" s="3" t="s">
        <v>475</v>
      </c>
      <c r="E1331" s="3" t="s">
        <v>476</v>
      </c>
      <c r="F1331" s="3" t="s">
        <v>477</v>
      </c>
      <c r="G1331" s="3" t="s">
        <v>478</v>
      </c>
      <c r="H1331" s="1"/>
      <c r="I1331" s="1"/>
      <c r="J1331" s="5" t="str">
        <f>IF(F1330="x","JUIST","")</f>
        <v/>
      </c>
      <c r="K1331" s="5">
        <f>ABS(IF(J1331="JUIST","1","0"))</f>
        <v>0</v>
      </c>
      <c r="L1331" s="3" t="s">
        <v>995</v>
      </c>
      <c r="M1331" s="1"/>
      <c r="N1331" s="1"/>
    </row>
    <row r="1332" spans="1:14" x14ac:dyDescent="0.2">
      <c r="A1332" s="1"/>
      <c r="B1332" s="1" t="s">
        <v>995</v>
      </c>
      <c r="D1332" s="1"/>
      <c r="E1332" s="1"/>
      <c r="F1332" s="1"/>
      <c r="G1332" s="1"/>
      <c r="H1332" s="1"/>
      <c r="I1332" s="1"/>
      <c r="J1332" s="5" t="str">
        <f>IF(G1330="x","FOUT","")</f>
        <v/>
      </c>
      <c r="K1332" s="5">
        <f>ABS(IF(J1332="JUIST","1","0"))</f>
        <v>0</v>
      </c>
      <c r="L1332" s="3">
        <v>1</v>
      </c>
      <c r="M1332" s="1"/>
      <c r="N1332" s="1"/>
    </row>
    <row r="1333" spans="1:14" x14ac:dyDescent="0.2">
      <c r="A1333" s="1"/>
      <c r="B1333" s="82" t="s">
        <v>1033</v>
      </c>
      <c r="C1333" s="318" t="s">
        <v>995</v>
      </c>
      <c r="D1333" s="3"/>
      <c r="E1333" s="3"/>
      <c r="F1333" s="3"/>
      <c r="G1333" s="1"/>
      <c r="H1333" s="1"/>
      <c r="I1333" s="1"/>
      <c r="J1333" s="73" t="str">
        <f>IF(C1333="x","Het juiste antwoord is:  C.","")</f>
        <v/>
      </c>
      <c r="K1333" s="1"/>
      <c r="L1333" s="3"/>
      <c r="M1333" s="1"/>
      <c r="N1333" s="1"/>
    </row>
    <row r="1334" spans="1:14" x14ac:dyDescent="0.2">
      <c r="A1334" s="1"/>
      <c r="B1334" s="17" t="str">
        <f>IF(C1333="x",J1333,"")</f>
        <v/>
      </c>
      <c r="C1334" s="1"/>
      <c r="D1334" s="1"/>
      <c r="E1334" s="1"/>
      <c r="F1334" s="1"/>
      <c r="G1334" s="1"/>
      <c r="H1334" s="1"/>
      <c r="I1334" s="1"/>
      <c r="J1334" s="1"/>
      <c r="K1334" s="1"/>
      <c r="L1334" s="3"/>
      <c r="M1334" s="1"/>
      <c r="N1334" s="1"/>
    </row>
    <row r="1335" spans="1:14" x14ac:dyDescent="0.2">
      <c r="A1335" s="14"/>
      <c r="B1335" s="14"/>
      <c r="C1335" s="14"/>
      <c r="D1335" s="180"/>
      <c r="E1335" s="14"/>
      <c r="F1335" s="14"/>
      <c r="G1335" s="14"/>
      <c r="H1335" s="14"/>
      <c r="I1335" s="14"/>
      <c r="J1335" s="1"/>
      <c r="K1335" s="1"/>
      <c r="L1335" s="3"/>
      <c r="M1335" s="1"/>
      <c r="N1335" s="1"/>
    </row>
    <row r="1336" spans="1:14" x14ac:dyDescent="0.2">
      <c r="A1336" s="1"/>
      <c r="B1336" s="1"/>
      <c r="C1336" s="1"/>
      <c r="D1336" s="1"/>
      <c r="E1336" s="1"/>
      <c r="F1336" s="1"/>
      <c r="G1336" s="1"/>
      <c r="H1336" s="1"/>
      <c r="I1336" s="1"/>
      <c r="J1336" s="1"/>
      <c r="K1336" s="1"/>
      <c r="L1336" s="3"/>
      <c r="M1336" s="1"/>
      <c r="N1336" s="1"/>
    </row>
    <row r="1337" spans="1:14" x14ac:dyDescent="0.2">
      <c r="A1337" s="67" t="s">
        <v>1970</v>
      </c>
      <c r="B1337" s="1" t="s">
        <v>2473</v>
      </c>
      <c r="C1337" s="1"/>
      <c r="D1337" s="1"/>
      <c r="E1337" s="1"/>
      <c r="F1337" s="1"/>
      <c r="G1337" s="1"/>
      <c r="H1337" s="1"/>
      <c r="I1337" s="1"/>
      <c r="J1337" s="1"/>
      <c r="K1337" s="1"/>
      <c r="L1337" s="3"/>
      <c r="M1337" s="1"/>
      <c r="N1337" s="1"/>
    </row>
    <row r="1338" spans="1:14" x14ac:dyDescent="0.2">
      <c r="A1338" s="1"/>
      <c r="B1338" s="1"/>
      <c r="C1338" s="1"/>
      <c r="D1338" s="1"/>
      <c r="E1338" s="1"/>
      <c r="F1338" s="1"/>
      <c r="G1338" s="1"/>
      <c r="H1338" s="1"/>
      <c r="I1338" s="1"/>
      <c r="J1338" s="1"/>
      <c r="K1338" s="1"/>
      <c r="L1338" s="3"/>
      <c r="M1338" s="1"/>
      <c r="N1338" s="1"/>
    </row>
    <row r="1339" spans="1:14" x14ac:dyDescent="0.2">
      <c r="A1339" s="54"/>
      <c r="B1339" s="54" t="s">
        <v>1614</v>
      </c>
      <c r="C1339" s="407"/>
      <c r="D1339" s="1"/>
      <c r="F1339" s="1"/>
      <c r="G1339" s="1"/>
      <c r="H1339" s="1"/>
      <c r="I1339" s="1"/>
      <c r="J1339" s="1"/>
      <c r="K1339" s="1"/>
      <c r="L1339" s="3"/>
      <c r="M1339" s="1"/>
      <c r="N1339" s="1"/>
    </row>
    <row r="1340" spans="1:14" x14ac:dyDescent="0.2">
      <c r="A1340" s="55" t="s">
        <v>999</v>
      </c>
      <c r="B1340" s="55" t="s">
        <v>1615</v>
      </c>
      <c r="C1340" s="10" t="s">
        <v>995</v>
      </c>
      <c r="D1340" s="3" t="str">
        <f>IF(C1348="x",M1340,"")</f>
        <v/>
      </c>
      <c r="E1340" s="1"/>
      <c r="F1340" s="1"/>
      <c r="G1340" s="1"/>
      <c r="H1340" s="1"/>
      <c r="I1340" s="1"/>
      <c r="J1340" s="5" t="e">
        <f>SEARCH("VUT",C1340)</f>
        <v>#VALUE!</v>
      </c>
      <c r="K1340" s="1"/>
      <c r="L1340" s="3"/>
      <c r="M1340" s="1" t="s">
        <v>1616</v>
      </c>
      <c r="N1340" s="1"/>
    </row>
    <row r="1341" spans="1:14" x14ac:dyDescent="0.2">
      <c r="A1341" s="54"/>
      <c r="B1341" s="54" t="s">
        <v>1617</v>
      </c>
      <c r="C1341" s="407"/>
      <c r="D1341" s="3"/>
      <c r="E1341" s="1"/>
      <c r="F1341" s="1"/>
      <c r="G1341" s="1"/>
      <c r="H1341" s="1"/>
      <c r="I1341" s="1"/>
      <c r="J1341" s="5">
        <f>ABS(ISERR(J1340))</f>
        <v>1</v>
      </c>
      <c r="K1341" s="5">
        <f>ABS(IF(J1341=0,"1","0"))</f>
        <v>0</v>
      </c>
      <c r="L1341" s="3">
        <v>1</v>
      </c>
      <c r="M1341" s="1"/>
      <c r="N1341" s="1"/>
    </row>
    <row r="1342" spans="1:14" x14ac:dyDescent="0.2">
      <c r="A1342" s="55"/>
      <c r="B1342" s="55" t="s">
        <v>1618</v>
      </c>
      <c r="C1342" s="407"/>
      <c r="D1342" s="3"/>
      <c r="E1342" s="1"/>
      <c r="F1342" s="1"/>
      <c r="G1342" s="1"/>
      <c r="H1342" s="1"/>
      <c r="I1342" s="1"/>
      <c r="J1342" s="5" t="e">
        <f>SEARCH("exit",C1343)</f>
        <v>#VALUE!</v>
      </c>
      <c r="K1342" s="1"/>
      <c r="L1342" s="3"/>
      <c r="M1342" s="1"/>
      <c r="N1342" s="1"/>
    </row>
    <row r="1343" spans="1:14" x14ac:dyDescent="0.2">
      <c r="A1343" s="55" t="s">
        <v>1000</v>
      </c>
      <c r="B1343" s="55" t="s">
        <v>1619</v>
      </c>
      <c r="C1343" s="10" t="s">
        <v>995</v>
      </c>
      <c r="D1343" s="3" t="str">
        <f>IF(C1348="x",M1343,"")</f>
        <v/>
      </c>
      <c r="E1343" s="1"/>
      <c r="F1343" s="1"/>
      <c r="G1343" s="1"/>
      <c r="H1343" s="1"/>
      <c r="I1343" s="1"/>
      <c r="J1343" s="5">
        <f>ABS(ISERR(J1342))</f>
        <v>1</v>
      </c>
      <c r="K1343" s="5">
        <f>ABS(IF(J1343=0,"1","0"))</f>
        <v>0</v>
      </c>
      <c r="L1343" s="3">
        <v>1</v>
      </c>
      <c r="M1343" s="1" t="s">
        <v>1620</v>
      </c>
      <c r="N1343" s="1"/>
    </row>
    <row r="1344" spans="1:14" x14ac:dyDescent="0.2">
      <c r="A1344" s="54"/>
      <c r="B1344" s="483" t="s">
        <v>2474</v>
      </c>
      <c r="C1344" s="407"/>
      <c r="D1344" s="3"/>
      <c r="E1344" s="1"/>
      <c r="F1344" s="1"/>
      <c r="G1344" s="1"/>
      <c r="H1344" s="1"/>
      <c r="I1344" s="1"/>
      <c r="J1344" s="1"/>
      <c r="K1344" s="1"/>
      <c r="L1344" s="3"/>
      <c r="M1344" s="1" t="s">
        <v>1622</v>
      </c>
      <c r="N1344" s="1"/>
    </row>
    <row r="1345" spans="1:14" x14ac:dyDescent="0.2">
      <c r="A1345" s="55"/>
      <c r="B1345" s="64" t="s">
        <v>2475</v>
      </c>
      <c r="C1345" s="407"/>
      <c r="D1345" s="3"/>
      <c r="E1345" s="1"/>
      <c r="F1345" s="1"/>
      <c r="G1345" s="1"/>
      <c r="H1345" s="1"/>
      <c r="I1345" s="1"/>
      <c r="J1345" s="5" t="e">
        <f>SEARCH("blijfpremie",C1346)</f>
        <v>#VALUE!</v>
      </c>
      <c r="K1345" s="1"/>
      <c r="L1345" s="3"/>
      <c r="M1345" s="1"/>
      <c r="N1345" s="1"/>
    </row>
    <row r="1346" spans="1:14" x14ac:dyDescent="0.2">
      <c r="A1346" s="28" t="s">
        <v>1001</v>
      </c>
      <c r="B1346" s="484" t="s">
        <v>2476</v>
      </c>
      <c r="C1346" s="318" t="s">
        <v>995</v>
      </c>
      <c r="D1346" s="3" t="str">
        <f>IF(C1348="x",M1346,"")</f>
        <v/>
      </c>
      <c r="E1346" s="1"/>
      <c r="F1346" s="1"/>
      <c r="G1346" s="1"/>
      <c r="H1346" s="1"/>
      <c r="I1346" s="1"/>
      <c r="J1346" s="5">
        <f>ABS(ISERR(J1345))</f>
        <v>1</v>
      </c>
      <c r="K1346" s="5">
        <f>ABS(IF(J1346=0,"1","0"))</f>
        <v>0</v>
      </c>
      <c r="L1346" s="3">
        <v>1</v>
      </c>
      <c r="M1346" s="1" t="s">
        <v>1621</v>
      </c>
      <c r="N1346" s="1"/>
    </row>
    <row r="1347" spans="1:14" x14ac:dyDescent="0.2">
      <c r="A1347" s="1"/>
      <c r="B1347" s="1"/>
      <c r="C1347" s="67" t="s">
        <v>995</v>
      </c>
      <c r="D1347" s="1"/>
      <c r="E1347" s="1"/>
      <c r="F1347" s="1"/>
      <c r="G1347" s="1"/>
      <c r="H1347" s="1"/>
      <c r="I1347" s="1"/>
      <c r="J1347" s="1"/>
      <c r="K1347" s="1"/>
      <c r="L1347" s="3"/>
      <c r="M1347" s="1"/>
      <c r="N1347" s="1"/>
    </row>
    <row r="1348" spans="1:14" x14ac:dyDescent="0.2">
      <c r="A1348" s="1"/>
      <c r="B1348" s="82" t="s">
        <v>1033</v>
      </c>
      <c r="C1348" s="318" t="s">
        <v>995</v>
      </c>
      <c r="D1348" s="1"/>
      <c r="E1348" s="1"/>
      <c r="F1348" s="1"/>
      <c r="G1348" s="1"/>
      <c r="H1348" s="1"/>
      <c r="I1348" s="1"/>
      <c r="J1348" s="1"/>
      <c r="K1348" s="1"/>
      <c r="L1348" s="3"/>
      <c r="M1348" s="1"/>
      <c r="N1348" s="1"/>
    </row>
    <row r="1349" spans="1:14" x14ac:dyDescent="0.2">
      <c r="A1349" s="1"/>
      <c r="B1349" s="1"/>
      <c r="C1349" s="1"/>
      <c r="D1349" s="1"/>
      <c r="E1349" s="1"/>
      <c r="F1349" s="1"/>
      <c r="G1349" s="1"/>
      <c r="H1349" s="1"/>
      <c r="I1349" s="1"/>
      <c r="J1349" s="1"/>
      <c r="K1349" s="1"/>
      <c r="L1349" s="3"/>
      <c r="M1349" s="1"/>
      <c r="N1349" s="1"/>
    </row>
    <row r="1350" spans="1:14" x14ac:dyDescent="0.2">
      <c r="A1350" s="14"/>
      <c r="B1350" s="14"/>
      <c r="C1350" s="14"/>
      <c r="D1350" s="180"/>
      <c r="E1350" s="14"/>
      <c r="F1350" s="14"/>
      <c r="G1350" s="14"/>
      <c r="H1350" s="14"/>
      <c r="I1350" s="14"/>
      <c r="J1350" s="1"/>
      <c r="K1350" s="1"/>
      <c r="L1350" s="3"/>
      <c r="M1350" s="1"/>
      <c r="N1350" s="1"/>
    </row>
    <row r="1351" spans="1:14" x14ac:dyDescent="0.2">
      <c r="A1351" s="1"/>
      <c r="B1351" s="1"/>
      <c r="C1351" s="1"/>
      <c r="D1351" s="1"/>
      <c r="E1351" s="1"/>
      <c r="F1351" s="1"/>
      <c r="G1351" s="1"/>
      <c r="H1351" s="1"/>
      <c r="I1351" s="1"/>
      <c r="J1351" s="1"/>
      <c r="K1351" s="1"/>
      <c r="L1351" s="3"/>
      <c r="M1351" s="1"/>
      <c r="N1351" s="1"/>
    </row>
    <row r="1352" spans="1:14" ht="13.5" thickBot="1" x14ac:dyDescent="0.25">
      <c r="A1352" s="1" t="s">
        <v>995</v>
      </c>
      <c r="B1352" s="1"/>
      <c r="C1352" s="1"/>
      <c r="D1352" s="1"/>
      <c r="E1352" s="1"/>
      <c r="F1352" s="1"/>
      <c r="G1352" s="1"/>
      <c r="H1352" s="1"/>
      <c r="I1352" s="1"/>
      <c r="J1352" s="1"/>
      <c r="K1352" s="1"/>
      <c r="L1352" s="12" t="s">
        <v>256</v>
      </c>
      <c r="M1352" s="1"/>
      <c r="N1352" s="1"/>
    </row>
    <row r="1353" spans="1:14" ht="14.25" thickTop="1" thickBot="1" x14ac:dyDescent="0.25">
      <c r="A1353" s="1"/>
      <c r="B1353" s="6" t="s">
        <v>265</v>
      </c>
      <c r="C1353" s="73">
        <f>L1353</f>
        <v>218</v>
      </c>
      <c r="D1353" s="1"/>
      <c r="E1353" s="1"/>
      <c r="F1353" s="1"/>
      <c r="G1353" s="1"/>
      <c r="H1353" s="1"/>
      <c r="I1353" s="1"/>
      <c r="J1353" s="16" t="s">
        <v>343</v>
      </c>
      <c r="K1353" s="69">
        <f>SUM(K4:K1350)</f>
        <v>1</v>
      </c>
      <c r="L1353" s="70">
        <f>SUM(L4:L1350)</f>
        <v>218</v>
      </c>
      <c r="M1353" s="1"/>
      <c r="N1353" s="1"/>
    </row>
    <row r="1354" spans="1:14" ht="13.5" thickTop="1" x14ac:dyDescent="0.2">
      <c r="A1354" s="1"/>
      <c r="B1354" s="73" t="s">
        <v>2089</v>
      </c>
      <c r="C1354" s="73">
        <f>L1353/100</f>
        <v>2.1800000000000002</v>
      </c>
      <c r="D1354" s="1"/>
      <c r="E1354" s="1"/>
      <c r="F1354" s="1"/>
      <c r="G1354" s="1"/>
      <c r="H1354" s="1"/>
      <c r="I1354" s="1"/>
      <c r="J1354" s="16" t="s">
        <v>344</v>
      </c>
      <c r="K1354" s="71">
        <f>L1353</f>
        <v>218</v>
      </c>
      <c r="L1354" s="3"/>
      <c r="M1354" s="1"/>
      <c r="N1354" s="1"/>
    </row>
    <row r="1355" spans="1:14" ht="13.5" thickBot="1" x14ac:dyDescent="0.25">
      <c r="A1355" s="1"/>
      <c r="B1355" s="54" t="s">
        <v>2137</v>
      </c>
      <c r="C1355" s="74">
        <f>K1353/C1354</f>
        <v>0.4587155963302752</v>
      </c>
      <c r="D1355" s="1"/>
      <c r="E1355" s="1"/>
      <c r="F1355" s="1"/>
      <c r="G1355" s="1"/>
      <c r="H1355" s="1"/>
      <c r="I1355" s="1"/>
      <c r="J1355" s="1" t="s">
        <v>257</v>
      </c>
      <c r="K1355" s="1">
        <f>(100/K1354)</f>
        <v>0.45871559633027525</v>
      </c>
      <c r="L1355" s="3"/>
      <c r="M1355" s="1"/>
      <c r="N1355" s="1"/>
    </row>
    <row r="1356" spans="1:14" ht="17.25" thickTop="1" thickBot="1" x14ac:dyDescent="0.3">
      <c r="A1356" s="1"/>
      <c r="B1356" s="75" t="s">
        <v>266</v>
      </c>
      <c r="C1356" s="78">
        <f>K1356</f>
        <v>4.5871559633027525E-2</v>
      </c>
      <c r="D1356" s="77" t="str">
        <f>J1358</f>
        <v/>
      </c>
      <c r="E1356" s="1"/>
      <c r="F1356" s="1"/>
      <c r="G1356" s="1"/>
      <c r="H1356" s="1"/>
      <c r="I1356" s="1"/>
      <c r="J1356" s="1" t="s">
        <v>345</v>
      </c>
      <c r="K1356" s="72">
        <f>K1353*K1355/10</f>
        <v>4.5871559633027525E-2</v>
      </c>
      <c r="L1356" s="3"/>
      <c r="M1356" s="1"/>
      <c r="N1356" s="1"/>
    </row>
    <row r="1357" spans="1:14" ht="13.5" thickTop="1" x14ac:dyDescent="0.2">
      <c r="A1357" s="1"/>
      <c r="B1357" s="1"/>
      <c r="C1357" s="291" t="s">
        <v>995</v>
      </c>
      <c r="D1357" s="1"/>
      <c r="E1357" s="1"/>
      <c r="F1357" s="1"/>
      <c r="G1357" s="1"/>
      <c r="H1357" s="1"/>
      <c r="I1357" s="1"/>
      <c r="J1357" s="1"/>
      <c r="K1357" s="1"/>
      <c r="L1357" s="3"/>
      <c r="M1357" s="1"/>
      <c r="N1357" s="1"/>
    </row>
    <row r="1358" spans="1:14" x14ac:dyDescent="0.2">
      <c r="A1358" s="1"/>
      <c r="B1358" s="1"/>
      <c r="C1358" s="1"/>
      <c r="D1358" s="1"/>
      <c r="E1358" s="1"/>
      <c r="F1358" s="1"/>
      <c r="G1358" s="1"/>
      <c r="H1358" s="1"/>
      <c r="I1358" s="1"/>
      <c r="J1358" s="6" t="str">
        <f>IF(C1356&gt;5.5,L1358,"")</f>
        <v/>
      </c>
      <c r="K1358" s="1"/>
      <c r="L1358" s="3" t="s">
        <v>267</v>
      </c>
      <c r="M1358" s="1"/>
      <c r="N1358" s="1"/>
    </row>
    <row r="1359" spans="1:14" x14ac:dyDescent="0.2">
      <c r="A1359" s="1"/>
      <c r="B1359" s="1"/>
      <c r="C1359" s="1"/>
      <c r="D1359" s="1"/>
      <c r="E1359" s="1"/>
      <c r="F1359" s="1"/>
      <c r="G1359" s="1"/>
      <c r="H1359" s="1"/>
      <c r="I1359" s="1"/>
      <c r="J1359" s="1"/>
      <c r="K1359" s="1"/>
      <c r="L1359" s="3"/>
      <c r="M1359" s="1"/>
      <c r="N1359" s="1"/>
    </row>
    <row r="1360" spans="1:14" x14ac:dyDescent="0.2">
      <c r="A1360" s="1"/>
      <c r="B1360" s="1"/>
      <c r="C1360" s="1"/>
      <c r="D1360" s="1"/>
      <c r="E1360" s="1"/>
      <c r="F1360" s="1"/>
      <c r="G1360" s="1"/>
      <c r="H1360" s="1"/>
      <c r="I1360" s="1"/>
      <c r="J1360" s="1"/>
      <c r="K1360" s="1"/>
      <c r="L1360" s="3"/>
      <c r="M1360" s="1"/>
      <c r="N1360" s="1"/>
    </row>
    <row r="1361" spans="1:14" x14ac:dyDescent="0.2">
      <c r="A1361" s="1"/>
      <c r="B1361" s="1"/>
      <c r="C1361" s="1"/>
      <c r="D1361" s="1"/>
      <c r="E1361" s="1"/>
      <c r="F1361" s="1"/>
      <c r="G1361" s="1"/>
      <c r="H1361" s="1"/>
      <c r="I1361" s="1"/>
      <c r="J1361" s="1"/>
      <c r="K1361" s="1"/>
      <c r="L1361" s="3"/>
      <c r="M1361" s="1"/>
      <c r="N1361" s="1"/>
    </row>
    <row r="1362" spans="1:14" x14ac:dyDescent="0.2">
      <c r="A1362" s="1"/>
      <c r="B1362" s="1"/>
      <c r="C1362" s="1"/>
      <c r="D1362" s="1"/>
      <c r="E1362" s="1"/>
      <c r="F1362" s="1"/>
      <c r="G1362" s="1"/>
      <c r="H1362" s="1"/>
      <c r="I1362" s="1"/>
      <c r="J1362" s="1"/>
      <c r="K1362" s="1"/>
      <c r="L1362" s="3"/>
      <c r="M1362" s="1"/>
      <c r="N1362" s="1"/>
    </row>
    <row r="1363" spans="1:14" x14ac:dyDescent="0.2">
      <c r="A1363" s="1"/>
      <c r="B1363" s="1"/>
      <c r="C1363" s="1"/>
      <c r="D1363" s="1"/>
      <c r="E1363" s="1"/>
      <c r="F1363" s="1"/>
      <c r="G1363" s="1"/>
      <c r="H1363" s="1"/>
      <c r="I1363" s="1"/>
      <c r="J1363" s="1"/>
      <c r="K1363" s="1"/>
      <c r="L1363" s="3"/>
      <c r="M1363" s="1"/>
      <c r="N1363" s="1"/>
    </row>
    <row r="1364" spans="1:14" x14ac:dyDescent="0.2">
      <c r="A1364" s="1"/>
      <c r="B1364" s="1"/>
      <c r="C1364" s="1"/>
      <c r="D1364" s="1"/>
      <c r="E1364" s="1"/>
      <c r="F1364" s="1"/>
      <c r="G1364" s="1"/>
      <c r="H1364" s="1"/>
      <c r="I1364" s="1"/>
      <c r="J1364" s="1"/>
      <c r="K1364" s="1"/>
      <c r="L1364" s="3"/>
      <c r="M1364" s="1"/>
      <c r="N1364" s="1"/>
    </row>
    <row r="1365" spans="1:14" x14ac:dyDescent="0.2">
      <c r="A1365" s="1"/>
      <c r="B1365" s="1"/>
      <c r="C1365" s="1"/>
      <c r="D1365" s="1"/>
      <c r="E1365" s="1"/>
      <c r="F1365" s="1"/>
      <c r="G1365" s="1"/>
      <c r="H1365" s="1"/>
      <c r="I1365" s="1"/>
      <c r="J1365" s="1"/>
      <c r="K1365" s="1"/>
      <c r="L1365" s="3"/>
      <c r="M1365" s="1"/>
      <c r="N1365" s="1"/>
    </row>
    <row r="1366" spans="1:14" x14ac:dyDescent="0.2">
      <c r="A1366" s="1"/>
      <c r="B1366" s="1"/>
      <c r="C1366" s="1"/>
      <c r="D1366" s="1"/>
      <c r="E1366" s="1"/>
      <c r="F1366" s="1"/>
      <c r="G1366" s="1"/>
      <c r="H1366" s="1"/>
      <c r="I1366" s="1"/>
      <c r="J1366" s="1"/>
      <c r="K1366" s="1"/>
      <c r="L1366" s="3"/>
      <c r="M1366" s="1"/>
      <c r="N1366" s="1"/>
    </row>
    <row r="1367" spans="1:14" x14ac:dyDescent="0.2">
      <c r="A1367" s="1"/>
      <c r="B1367" s="1"/>
      <c r="C1367" s="1"/>
      <c r="D1367" s="1"/>
      <c r="E1367" s="1"/>
      <c r="F1367" s="1"/>
      <c r="G1367" s="1"/>
      <c r="H1367" s="1"/>
      <c r="I1367" s="1"/>
      <c r="J1367" s="1"/>
      <c r="K1367" s="1"/>
      <c r="L1367" s="3"/>
      <c r="M1367" s="1"/>
      <c r="N1367" s="1"/>
    </row>
    <row r="1368" spans="1:14" x14ac:dyDescent="0.2">
      <c r="A1368" s="1"/>
      <c r="B1368" s="1"/>
      <c r="C1368" s="1"/>
      <c r="D1368" s="1"/>
      <c r="E1368" s="1"/>
      <c r="F1368" s="1"/>
      <c r="G1368" s="1"/>
      <c r="H1368" s="1"/>
      <c r="I1368" s="1"/>
      <c r="J1368" s="1"/>
      <c r="K1368" s="1"/>
      <c r="L1368" s="3"/>
      <c r="M1368" s="1"/>
      <c r="N1368" s="1"/>
    </row>
    <row r="1369" spans="1:14" x14ac:dyDescent="0.2">
      <c r="A1369" s="1"/>
      <c r="B1369" s="1"/>
      <c r="C1369" s="1"/>
      <c r="D1369" s="1"/>
      <c r="E1369" s="1"/>
      <c r="F1369" s="1"/>
      <c r="G1369" s="1"/>
      <c r="H1369" s="1"/>
      <c r="I1369" s="1"/>
      <c r="J1369" s="1"/>
      <c r="K1369" s="1"/>
      <c r="L1369" s="3"/>
      <c r="M1369" s="1"/>
      <c r="N1369" s="1"/>
    </row>
    <row r="1370" spans="1:14" x14ac:dyDescent="0.2">
      <c r="A1370" s="1"/>
      <c r="B1370" s="1"/>
      <c r="C1370" s="1"/>
      <c r="D1370" s="1"/>
      <c r="E1370" s="1"/>
      <c r="F1370" s="1"/>
      <c r="G1370" s="1"/>
      <c r="H1370" s="1"/>
      <c r="I1370" s="1"/>
      <c r="J1370" s="1"/>
      <c r="K1370" s="1"/>
      <c r="L1370" s="3"/>
      <c r="M1370" s="1"/>
      <c r="N1370" s="1"/>
    </row>
    <row r="1371" spans="1:14" x14ac:dyDescent="0.2">
      <c r="A1371" s="1"/>
      <c r="B1371" s="1"/>
      <c r="C1371" s="1"/>
      <c r="D1371" s="1"/>
      <c r="E1371" s="1"/>
      <c r="F1371" s="1"/>
      <c r="G1371" s="1"/>
      <c r="H1371" s="1"/>
      <c r="I1371" s="1"/>
      <c r="J1371" s="1"/>
      <c r="K1371" s="1"/>
      <c r="L1371" s="3"/>
      <c r="M1371" s="1"/>
      <c r="N1371" s="1"/>
    </row>
    <row r="1372" spans="1:14" x14ac:dyDescent="0.2">
      <c r="A1372" s="1"/>
      <c r="B1372" s="1"/>
      <c r="C1372" s="1"/>
      <c r="D1372" s="1"/>
      <c r="E1372" s="1"/>
      <c r="F1372" s="1"/>
      <c r="G1372" s="1"/>
      <c r="H1372" s="1"/>
      <c r="I1372" s="1"/>
      <c r="J1372" s="1"/>
      <c r="K1372" s="1"/>
      <c r="L1372" s="3"/>
      <c r="M1372" s="1"/>
      <c r="N1372" s="1"/>
    </row>
    <row r="1373" spans="1:14" x14ac:dyDescent="0.2">
      <c r="A1373" s="1"/>
      <c r="B1373" s="1"/>
      <c r="C1373" s="1"/>
      <c r="D1373" s="1"/>
      <c r="E1373" s="1"/>
      <c r="F1373" s="1"/>
      <c r="G1373" s="1"/>
      <c r="H1373" s="1"/>
      <c r="I1373" s="1"/>
      <c r="J1373" s="1"/>
      <c r="K1373" s="1"/>
      <c r="L1373" s="3"/>
      <c r="M1373" s="1"/>
      <c r="N1373" s="1"/>
    </row>
    <row r="1374" spans="1:14" x14ac:dyDescent="0.2">
      <c r="A1374" s="1"/>
      <c r="B1374" s="1"/>
      <c r="C1374" s="1"/>
      <c r="D1374" s="1"/>
      <c r="E1374" s="1"/>
      <c r="F1374" s="1"/>
      <c r="G1374" s="1"/>
      <c r="H1374" s="1"/>
      <c r="I1374" s="1"/>
      <c r="J1374" s="1"/>
      <c r="K1374" s="1"/>
      <c r="L1374" s="3"/>
      <c r="M1374" s="1"/>
      <c r="N1374" s="1"/>
    </row>
    <row r="1375" spans="1:14" x14ac:dyDescent="0.2">
      <c r="A1375" s="1"/>
      <c r="B1375" s="1"/>
      <c r="C1375" s="1"/>
      <c r="D1375" s="1"/>
      <c r="E1375" s="1"/>
      <c r="F1375" s="1"/>
      <c r="G1375" s="1"/>
      <c r="H1375" s="1"/>
      <c r="I1375" s="1"/>
      <c r="J1375" s="1"/>
      <c r="K1375" s="1"/>
      <c r="L1375" s="3"/>
      <c r="M1375" s="1"/>
      <c r="N1375" s="1"/>
    </row>
    <row r="1376" spans="1:14" x14ac:dyDescent="0.2">
      <c r="A1376" s="1"/>
      <c r="B1376" s="1"/>
      <c r="C1376" s="1"/>
      <c r="D1376" s="1"/>
      <c r="E1376" s="1"/>
      <c r="F1376" s="1"/>
      <c r="G1376" s="1"/>
      <c r="H1376" s="1"/>
      <c r="I1376" s="1"/>
      <c r="J1376" s="1"/>
      <c r="K1376" s="1"/>
      <c r="L1376" s="3"/>
      <c r="M1376" s="1"/>
      <c r="N1376" s="1"/>
    </row>
    <row r="1377" spans="1:14" x14ac:dyDescent="0.2">
      <c r="A1377" s="1"/>
      <c r="B1377" s="1"/>
      <c r="C1377" s="1"/>
      <c r="D1377" s="1"/>
      <c r="E1377" s="1"/>
      <c r="F1377" s="1"/>
      <c r="G1377" s="1"/>
      <c r="H1377" s="1"/>
      <c r="I1377" s="1"/>
      <c r="J1377" s="1"/>
      <c r="K1377" s="1"/>
      <c r="L1377" s="3"/>
      <c r="M1377" s="1"/>
      <c r="N1377" s="1"/>
    </row>
    <row r="1378" spans="1:14" x14ac:dyDescent="0.2">
      <c r="A1378" s="1"/>
      <c r="B1378" s="1"/>
      <c r="C1378" s="1"/>
      <c r="D1378" s="1"/>
      <c r="E1378" s="1"/>
      <c r="F1378" s="1"/>
      <c r="G1378" s="1"/>
      <c r="H1378" s="1"/>
      <c r="I1378" s="1"/>
      <c r="J1378" s="1"/>
      <c r="K1378" s="1"/>
      <c r="L1378" s="3"/>
      <c r="M1378" s="1"/>
      <c r="N1378" s="1"/>
    </row>
    <row r="1379" spans="1:14" x14ac:dyDescent="0.2">
      <c r="A1379" s="1"/>
      <c r="B1379" s="1"/>
      <c r="C1379" s="1"/>
      <c r="D1379" s="1"/>
      <c r="E1379" s="1"/>
      <c r="F1379" s="1"/>
      <c r="G1379" s="1"/>
      <c r="H1379" s="1"/>
      <c r="I1379" s="1"/>
      <c r="J1379" s="1"/>
      <c r="K1379" s="1"/>
      <c r="L1379" s="3"/>
      <c r="M1379" s="1"/>
      <c r="N1379" s="1"/>
    </row>
    <row r="1380" spans="1:14" x14ac:dyDescent="0.2">
      <c r="A1380" s="1"/>
      <c r="B1380" s="1"/>
      <c r="C1380" s="1"/>
      <c r="D1380" s="1"/>
      <c r="E1380" s="1"/>
      <c r="F1380" s="1"/>
      <c r="G1380" s="1"/>
      <c r="H1380" s="1"/>
      <c r="I1380" s="1"/>
      <c r="J1380" s="1"/>
      <c r="K1380" s="1"/>
      <c r="L1380" s="3"/>
      <c r="M1380" s="1"/>
      <c r="N1380" s="1"/>
    </row>
    <row r="1381" spans="1:14" x14ac:dyDescent="0.2">
      <c r="A1381" s="1"/>
      <c r="B1381" s="1"/>
      <c r="C1381" s="1"/>
      <c r="D1381" s="1"/>
      <c r="E1381" s="1"/>
      <c r="F1381" s="1"/>
      <c r="G1381" s="1"/>
      <c r="H1381" s="1"/>
      <c r="I1381" s="1"/>
      <c r="J1381" s="1"/>
      <c r="K1381" s="1"/>
      <c r="L1381" s="3"/>
      <c r="M1381" s="1"/>
      <c r="N1381" s="1"/>
    </row>
    <row r="1382" spans="1:14" x14ac:dyDescent="0.2">
      <c r="A1382" s="1"/>
      <c r="B1382" s="1"/>
      <c r="C1382" s="1"/>
      <c r="D1382" s="1"/>
      <c r="E1382" s="1"/>
      <c r="F1382" s="1"/>
      <c r="G1382" s="1"/>
      <c r="H1382" s="1"/>
      <c r="I1382" s="1"/>
      <c r="J1382" s="1"/>
      <c r="K1382" s="1"/>
      <c r="L1382" s="3"/>
      <c r="M1382" s="1"/>
      <c r="N1382" s="1"/>
    </row>
    <row r="1383" spans="1:14" x14ac:dyDescent="0.2">
      <c r="A1383" s="1"/>
      <c r="B1383" s="1"/>
      <c r="C1383" s="1"/>
      <c r="D1383" s="1"/>
      <c r="E1383" s="1"/>
      <c r="F1383" s="1"/>
      <c r="G1383" s="1"/>
      <c r="H1383" s="1"/>
      <c r="I1383" s="1"/>
      <c r="J1383" s="1"/>
      <c r="K1383" s="1"/>
      <c r="L1383" s="3"/>
      <c r="M1383" s="1"/>
      <c r="N1383" s="1"/>
    </row>
    <row r="1384" spans="1:14" x14ac:dyDescent="0.2">
      <c r="A1384" s="1"/>
      <c r="B1384" s="1"/>
      <c r="C1384" s="1"/>
      <c r="D1384" s="1"/>
      <c r="E1384" s="1"/>
      <c r="F1384" s="1"/>
      <c r="G1384" s="1"/>
      <c r="H1384" s="1"/>
      <c r="I1384" s="1"/>
      <c r="J1384" s="1"/>
      <c r="K1384" s="1"/>
      <c r="L1384" s="3"/>
      <c r="M1384" s="1"/>
      <c r="N1384" s="1"/>
    </row>
    <row r="1385" spans="1:14" x14ac:dyDescent="0.2">
      <c r="A1385" s="1"/>
      <c r="B1385" s="1"/>
      <c r="C1385" s="1"/>
      <c r="D1385" s="1"/>
      <c r="E1385" s="1"/>
      <c r="F1385" s="1"/>
      <c r="G1385" s="1"/>
      <c r="H1385" s="1"/>
      <c r="I1385" s="1"/>
      <c r="J1385" s="1"/>
      <c r="K1385" s="1"/>
      <c r="L1385" s="3"/>
      <c r="M1385" s="1"/>
      <c r="N1385" s="1"/>
    </row>
    <row r="1386" spans="1:14" x14ac:dyDescent="0.2">
      <c r="A1386" s="1"/>
      <c r="B1386" s="1"/>
      <c r="C1386" s="1"/>
      <c r="D1386" s="1"/>
      <c r="E1386" s="1"/>
      <c r="F1386" s="1"/>
      <c r="G1386" s="1"/>
      <c r="H1386" s="1"/>
      <c r="I1386" s="1"/>
      <c r="J1386" s="1"/>
      <c r="K1386" s="1"/>
      <c r="L1386" s="3"/>
      <c r="M1386" s="1"/>
      <c r="N1386" s="1"/>
    </row>
    <row r="1387" spans="1:14" x14ac:dyDescent="0.2">
      <c r="A1387" s="1"/>
      <c r="B1387" s="1"/>
      <c r="C1387" s="1"/>
      <c r="D1387" s="1"/>
      <c r="E1387" s="1"/>
      <c r="F1387" s="1"/>
      <c r="G1387" s="1"/>
      <c r="H1387" s="1"/>
      <c r="I1387" s="1"/>
      <c r="J1387" s="1"/>
      <c r="K1387" s="1"/>
      <c r="L1387" s="3"/>
      <c r="M1387" s="1"/>
      <c r="N1387" s="1"/>
    </row>
    <row r="1388" spans="1:14" x14ac:dyDescent="0.2">
      <c r="A1388" s="1"/>
      <c r="B1388" s="1"/>
      <c r="C1388" s="1"/>
      <c r="D1388" s="1"/>
      <c r="E1388" s="1"/>
      <c r="F1388" s="1"/>
      <c r="G1388" s="1"/>
      <c r="H1388" s="1"/>
      <c r="I1388" s="1"/>
      <c r="J1388" s="1"/>
      <c r="K1388" s="1"/>
      <c r="L1388" s="3"/>
      <c r="M1388" s="1"/>
      <c r="N1388" s="1"/>
    </row>
    <row r="1389" spans="1:14" x14ac:dyDescent="0.2">
      <c r="A1389" s="1"/>
      <c r="B1389" s="1"/>
      <c r="C1389" s="1"/>
      <c r="D1389" s="1"/>
      <c r="E1389" s="1"/>
      <c r="F1389" s="1"/>
      <c r="G1389" s="1"/>
      <c r="H1389" s="1"/>
      <c r="I1389" s="1"/>
      <c r="J1389" s="1"/>
      <c r="K1389" s="1"/>
      <c r="L1389" s="3"/>
      <c r="M1389" s="1"/>
      <c r="N1389" s="1"/>
    </row>
    <row r="1390" spans="1:14" x14ac:dyDescent="0.2">
      <c r="A1390" s="1"/>
      <c r="B1390" s="1"/>
      <c r="C1390" s="1"/>
      <c r="D1390" s="1"/>
      <c r="E1390" s="1"/>
      <c r="F1390" s="1"/>
      <c r="G1390" s="1"/>
      <c r="H1390" s="1"/>
      <c r="I1390" s="1"/>
      <c r="J1390" s="1"/>
      <c r="K1390" s="1"/>
      <c r="L1390" s="3"/>
      <c r="M1390" s="1"/>
      <c r="N1390" s="1"/>
    </row>
    <row r="1391" spans="1:14" x14ac:dyDescent="0.2">
      <c r="A1391" s="1"/>
      <c r="B1391" s="1"/>
      <c r="C1391" s="1"/>
      <c r="D1391" s="1"/>
      <c r="E1391" s="1"/>
      <c r="F1391" s="1"/>
      <c r="G1391" s="1"/>
      <c r="H1391" s="1"/>
      <c r="I1391" s="1"/>
      <c r="J1391" s="1"/>
      <c r="K1391" s="1"/>
      <c r="L1391" s="3"/>
      <c r="M1391" s="1"/>
      <c r="N1391" s="1"/>
    </row>
    <row r="1392" spans="1:14" x14ac:dyDescent="0.2">
      <c r="A1392" s="1"/>
      <c r="B1392" s="1"/>
      <c r="C1392" s="1"/>
      <c r="D1392" s="1"/>
      <c r="E1392" s="1"/>
      <c r="F1392" s="1"/>
      <c r="G1392" s="1"/>
      <c r="H1392" s="1"/>
      <c r="I1392" s="1"/>
      <c r="J1392" s="1"/>
      <c r="K1392" s="1"/>
      <c r="L1392" s="3"/>
      <c r="M1392" s="1"/>
      <c r="N1392" s="1"/>
    </row>
    <row r="1393" spans="1:14" x14ac:dyDescent="0.2">
      <c r="A1393" s="1"/>
      <c r="B1393" s="1"/>
      <c r="C1393" s="1"/>
      <c r="D1393" s="1"/>
      <c r="E1393" s="1"/>
      <c r="F1393" s="1"/>
      <c r="G1393" s="1"/>
      <c r="H1393" s="1"/>
      <c r="I1393" s="1"/>
      <c r="J1393" s="1"/>
      <c r="K1393" s="1"/>
      <c r="L1393" s="3"/>
      <c r="M1393" s="1"/>
      <c r="N1393" s="1"/>
    </row>
    <row r="1394" spans="1:14" x14ac:dyDescent="0.2">
      <c r="A1394" s="1"/>
      <c r="B1394" s="1"/>
      <c r="C1394" s="1"/>
      <c r="D1394" s="1"/>
      <c r="E1394" s="1"/>
      <c r="F1394" s="1"/>
      <c r="G1394" s="1"/>
      <c r="H1394" s="1"/>
      <c r="I1394" s="1"/>
      <c r="J1394" s="1"/>
      <c r="K1394" s="1"/>
      <c r="L1394" s="3"/>
      <c r="M1394" s="1"/>
      <c r="N1394" s="1"/>
    </row>
    <row r="1395" spans="1:14" x14ac:dyDescent="0.2">
      <c r="A1395" s="1"/>
      <c r="B1395" s="1"/>
      <c r="C1395" s="1"/>
      <c r="D1395" s="1"/>
      <c r="E1395" s="1"/>
      <c r="F1395" s="1"/>
      <c r="G1395" s="1"/>
      <c r="H1395" s="1"/>
      <c r="I1395" s="1"/>
      <c r="J1395" s="1"/>
      <c r="K1395" s="1"/>
      <c r="L1395" s="3"/>
      <c r="M1395" s="1"/>
      <c r="N1395" s="1"/>
    </row>
    <row r="1396" spans="1:14" x14ac:dyDescent="0.2">
      <c r="A1396" s="1"/>
      <c r="B1396" s="1"/>
      <c r="C1396" s="1"/>
      <c r="D1396" s="1"/>
      <c r="E1396" s="1"/>
      <c r="F1396" s="1"/>
      <c r="G1396" s="1"/>
      <c r="H1396" s="1"/>
      <c r="I1396" s="1"/>
      <c r="J1396" s="1"/>
      <c r="K1396" s="1"/>
      <c r="L1396" s="3"/>
      <c r="M1396" s="1"/>
      <c r="N1396" s="1"/>
    </row>
    <row r="1397" spans="1:14" x14ac:dyDescent="0.2">
      <c r="A1397" s="1"/>
      <c r="B1397" s="1"/>
      <c r="C1397" s="1"/>
      <c r="D1397" s="1"/>
      <c r="E1397" s="1"/>
      <c r="F1397" s="1"/>
      <c r="G1397" s="1"/>
      <c r="H1397" s="1"/>
      <c r="I1397" s="1"/>
      <c r="J1397" s="1"/>
      <c r="K1397" s="1"/>
      <c r="L1397" s="3"/>
      <c r="M1397" s="1"/>
      <c r="N1397" s="1"/>
    </row>
  </sheetData>
  <sheetProtection password="DFAF" sheet="1" objects="1" scenarios="1"/>
  <phoneticPr fontId="2" type="noConversion"/>
  <conditionalFormatting sqref="D1130 D1133 D1136 D1139 D1141">
    <cfRule type="expression" dxfId="409" priority="388" stopIfTrue="1">
      <formula>$C$1143="x"</formula>
    </cfRule>
  </conditionalFormatting>
  <conditionalFormatting sqref="B1194">
    <cfRule type="expression" dxfId="408" priority="389" stopIfTrue="1">
      <formula>$C$1193="x"</formula>
    </cfRule>
  </conditionalFormatting>
  <conditionalFormatting sqref="B1184:D1184">
    <cfRule type="expression" dxfId="407" priority="390" stopIfTrue="1">
      <formula>$C$1183="x"</formula>
    </cfRule>
  </conditionalFormatting>
  <conditionalFormatting sqref="B1174">
    <cfRule type="expression" dxfId="406" priority="393" stopIfTrue="1">
      <formula>$C$1173="x"</formula>
    </cfRule>
  </conditionalFormatting>
  <conditionalFormatting sqref="B1202">
    <cfRule type="expression" dxfId="405" priority="394" stopIfTrue="1">
      <formula>$C$1201="x"</formula>
    </cfRule>
  </conditionalFormatting>
  <conditionalFormatting sqref="B979">
    <cfRule type="expression" dxfId="404" priority="395" stopIfTrue="1">
      <formula>$C$978="x"</formula>
    </cfRule>
  </conditionalFormatting>
  <conditionalFormatting sqref="B986">
    <cfRule type="expression" dxfId="403" priority="396" stopIfTrue="1">
      <formula>$D$984="x"</formula>
    </cfRule>
  </conditionalFormatting>
  <conditionalFormatting sqref="F989">
    <cfRule type="expression" dxfId="402" priority="397" stopIfTrue="1">
      <formula>$C$993="x"</formula>
    </cfRule>
  </conditionalFormatting>
  <conditionalFormatting sqref="E767 D765 C766">
    <cfRule type="cellIs" dxfId="401" priority="398" stopIfTrue="1" operator="equal">
      <formula>"x"</formula>
    </cfRule>
    <cfRule type="expression" dxfId="400" priority="399" stopIfTrue="1">
      <formula>$C$769="x"</formula>
    </cfRule>
  </conditionalFormatting>
  <conditionalFormatting sqref="D820 G820 C743 E775:E776 D805 E690">
    <cfRule type="cellIs" dxfId="399" priority="401" stopIfTrue="1" operator="equal">
      <formula>"regelcapaciteit"</formula>
    </cfRule>
  </conditionalFormatting>
  <conditionalFormatting sqref="B622">
    <cfRule type="expression" dxfId="398" priority="402" stopIfTrue="1">
      <formula>$C$621="x"</formula>
    </cfRule>
  </conditionalFormatting>
  <conditionalFormatting sqref="B631">
    <cfRule type="expression" dxfId="397" priority="403" stopIfTrue="1">
      <formula>$C$630="x"</formula>
    </cfRule>
  </conditionalFormatting>
  <conditionalFormatting sqref="B892 B887 B648 B643">
    <cfRule type="expression" dxfId="396" priority="404" stopIfTrue="1">
      <formula>$C$647="x"</formula>
    </cfRule>
  </conditionalFormatting>
  <conditionalFormatting sqref="B586">
    <cfRule type="expression" dxfId="395" priority="405" stopIfTrue="1">
      <formula>$C$585="x"</formula>
    </cfRule>
  </conditionalFormatting>
  <conditionalFormatting sqref="B595">
    <cfRule type="expression" dxfId="394" priority="406" stopIfTrue="1">
      <formula>$C$594="x"</formula>
    </cfRule>
  </conditionalFormatting>
  <conditionalFormatting sqref="B610">
    <cfRule type="expression" dxfId="393" priority="407" stopIfTrue="1">
      <formula>$C$609="x"</formula>
    </cfRule>
  </conditionalFormatting>
  <conditionalFormatting sqref="B499 B509 B476 B486 B387 B437 B450 B375 B363 B255 B231 B221 B193 B209 B176 B164 B120 B84 B110 B96 B131:B132 B141 B464">
    <cfRule type="cellIs" dxfId="392" priority="408" stopIfTrue="1" operator="notEqual">
      <formula>$J$15</formula>
    </cfRule>
  </conditionalFormatting>
  <conditionalFormatting sqref="B571">
    <cfRule type="expression" dxfId="391" priority="409" stopIfTrue="1">
      <formula>$C$570="x"</formula>
    </cfRule>
  </conditionalFormatting>
  <conditionalFormatting sqref="D432:D434 D444:D446 D442 D12:D13 D15">
    <cfRule type="cellIs" dxfId="390" priority="410" stopIfTrue="1" operator="equal">
      <formula>"FOUT"</formula>
    </cfRule>
  </conditionalFormatting>
  <conditionalFormatting sqref="G422:H422 D426">
    <cfRule type="expression" dxfId="389" priority="411" stopIfTrue="1">
      <formula>$B$425="x"</formula>
    </cfRule>
  </conditionalFormatting>
  <conditionalFormatting sqref="D425">
    <cfRule type="expression" dxfId="388" priority="412" stopIfTrue="1">
      <formula>$K$415=1</formula>
    </cfRule>
  </conditionalFormatting>
  <conditionalFormatting sqref="G421:H421">
    <cfRule type="expression" dxfId="387" priority="413" stopIfTrue="1">
      <formula>$K$418=1</formula>
    </cfRule>
  </conditionalFormatting>
  <conditionalFormatting sqref="D431">
    <cfRule type="expression" dxfId="386" priority="414" stopIfTrue="1">
      <formula>$C$431="x"</formula>
    </cfRule>
  </conditionalFormatting>
  <conditionalFormatting sqref="D447">
    <cfRule type="cellIs" dxfId="385" priority="415" stopIfTrue="1" operator="equal">
      <formula>"JUISt"</formula>
    </cfRule>
  </conditionalFormatting>
  <conditionalFormatting sqref="F329:F336 G335:G336 F147:F150 G150">
    <cfRule type="expression" dxfId="384" priority="416" stopIfTrue="1">
      <formula>$C$338="x"</formula>
    </cfRule>
  </conditionalFormatting>
  <conditionalFormatting sqref="F965:G965 F967:G967 D1026 F1095 D14">
    <cfRule type="cellIs" dxfId="383" priority="417" stopIfTrue="1" operator="equal">
      <formula>"JUIST"</formula>
    </cfRule>
  </conditionalFormatting>
  <conditionalFormatting sqref="B659">
    <cfRule type="expression" dxfId="382" priority="418" stopIfTrue="1">
      <formula>$C$658="x"</formula>
    </cfRule>
  </conditionalFormatting>
  <conditionalFormatting sqref="B670:C670">
    <cfRule type="expression" dxfId="381" priority="419" stopIfTrue="1">
      <formula>$C$669="x"</formula>
    </cfRule>
  </conditionalFormatting>
  <conditionalFormatting sqref="C677:D677 C679:D679 C681:D681">
    <cfRule type="expression" dxfId="380" priority="420" stopIfTrue="1">
      <formula>$C$683="x"</formula>
    </cfRule>
  </conditionalFormatting>
  <conditionalFormatting sqref="E691">
    <cfRule type="expression" dxfId="379" priority="421" stopIfTrue="1">
      <formula>$C$693="x"</formula>
    </cfRule>
  </conditionalFormatting>
  <conditionalFormatting sqref="D291">
    <cfRule type="cellIs" dxfId="378" priority="422" stopIfTrue="1" operator="equal">
      <formula>5.7</formula>
    </cfRule>
  </conditionalFormatting>
  <conditionalFormatting sqref="D292">
    <cfRule type="cellIs" dxfId="377" priority="423" stopIfTrue="1" operator="equal">
      <formula>2.2</formula>
    </cfRule>
  </conditionalFormatting>
  <conditionalFormatting sqref="D294">
    <cfRule type="cellIs" dxfId="376" priority="424" stopIfTrue="1" operator="equal">
      <formula>4.5</formula>
    </cfRule>
  </conditionalFormatting>
  <conditionalFormatting sqref="D296">
    <cfRule type="cellIs" dxfId="375" priority="425" stopIfTrue="1" operator="equal">
      <formula>1.1</formula>
    </cfRule>
  </conditionalFormatting>
  <conditionalFormatting sqref="D298">
    <cfRule type="cellIs" dxfId="374" priority="426" stopIfTrue="1" operator="equal">
      <formula>37.1</formula>
    </cfRule>
  </conditionalFormatting>
  <conditionalFormatting sqref="D300">
    <cfRule type="cellIs" dxfId="373" priority="427" stopIfTrue="1" operator="equal">
      <formula>2.8</formula>
    </cfRule>
  </conditionalFormatting>
  <conditionalFormatting sqref="E288:E292 E294 E296 E298 E300">
    <cfRule type="expression" dxfId="372" priority="428" stopIfTrue="1">
      <formula>$C$302="x"</formula>
    </cfRule>
  </conditionalFormatting>
  <conditionalFormatting sqref="F307:F310 F312 F314 F317 B320">
    <cfRule type="expression" dxfId="371" priority="429" stopIfTrue="1">
      <formula>$C$319="x"</formula>
    </cfRule>
  </conditionalFormatting>
  <conditionalFormatting sqref="D227">
    <cfRule type="cellIs" dxfId="370" priority="430" stopIfTrue="1" operator="equal">
      <formula>"Afzetmarkt"</formula>
    </cfRule>
  </conditionalFormatting>
  <conditionalFormatting sqref="B73">
    <cfRule type="expression" dxfId="369" priority="431" stopIfTrue="1">
      <formula>$C$72="x"</formula>
    </cfRule>
  </conditionalFormatting>
  <conditionalFormatting sqref="D33:H33">
    <cfRule type="expression" dxfId="368" priority="432" stopIfTrue="1">
      <formula>$C$35="x"</formula>
    </cfRule>
  </conditionalFormatting>
  <conditionalFormatting sqref="D32">
    <cfRule type="expression" dxfId="367" priority="433" stopIfTrue="1">
      <formula>$K$31=1</formula>
    </cfRule>
  </conditionalFormatting>
  <conditionalFormatting sqref="F32">
    <cfRule type="expression" dxfId="366" priority="434" stopIfTrue="1">
      <formula>$K$33=1</formula>
    </cfRule>
  </conditionalFormatting>
  <conditionalFormatting sqref="H32">
    <cfRule type="expression" dxfId="365" priority="435" stopIfTrue="1">
      <formula>$K$35=1</formula>
    </cfRule>
  </conditionalFormatting>
  <conditionalFormatting sqref="D39:E39">
    <cfRule type="expression" dxfId="364" priority="436" stopIfTrue="1">
      <formula>$K$40=1</formula>
    </cfRule>
  </conditionalFormatting>
  <conditionalFormatting sqref="D40:E40">
    <cfRule type="expression" dxfId="363" priority="437" stopIfTrue="1">
      <formula>$K$42=1</formula>
    </cfRule>
  </conditionalFormatting>
  <conditionalFormatting sqref="D41:E41">
    <cfRule type="expression" dxfId="362" priority="438" stopIfTrue="1">
      <formula>$K$44=1</formula>
    </cfRule>
  </conditionalFormatting>
  <conditionalFormatting sqref="D44:D46">
    <cfRule type="expression" dxfId="361" priority="439" stopIfTrue="1">
      <formula>$C$52="x"</formula>
    </cfRule>
  </conditionalFormatting>
  <conditionalFormatting sqref="B65">
    <cfRule type="expression" dxfId="360" priority="440" stopIfTrue="1">
      <formula>$C$64="x"</formula>
    </cfRule>
  </conditionalFormatting>
  <conditionalFormatting sqref="B27">
    <cfRule type="expression" dxfId="359" priority="441" stopIfTrue="1">
      <formula>$C$26="x"</formula>
    </cfRule>
  </conditionalFormatting>
  <conditionalFormatting sqref="B18">
    <cfRule type="expression" dxfId="358" priority="442" stopIfTrue="1">
      <formula>$C$17="x"</formula>
    </cfRule>
  </conditionalFormatting>
  <conditionalFormatting sqref="B748">
    <cfRule type="expression" dxfId="357" priority="443" stopIfTrue="1">
      <formula>$C$747="x"</formula>
    </cfRule>
  </conditionalFormatting>
  <conditionalFormatting sqref="C738">
    <cfRule type="cellIs" dxfId="356" priority="444" stopIfTrue="1" operator="equal">
      <formula>"variatie"</formula>
    </cfRule>
  </conditionalFormatting>
  <conditionalFormatting sqref="B757">
    <cfRule type="expression" dxfId="355" priority="445" stopIfTrue="1">
      <formula>$C$756="x"</formula>
    </cfRule>
  </conditionalFormatting>
  <conditionalFormatting sqref="B782">
    <cfRule type="expression" dxfId="354" priority="446" stopIfTrue="1">
      <formula>$C$781="x"</formula>
    </cfRule>
  </conditionalFormatting>
  <conditionalFormatting sqref="B791">
    <cfRule type="expression" dxfId="353" priority="447" stopIfTrue="1">
      <formula>$C$790="x"</formula>
    </cfRule>
  </conditionalFormatting>
  <conditionalFormatting sqref="B800">
    <cfRule type="expression" dxfId="352" priority="448" stopIfTrue="1">
      <formula>$C$799="x"</formula>
    </cfRule>
  </conditionalFormatting>
  <conditionalFormatting sqref="D821 G819">
    <cfRule type="expression" dxfId="351" priority="449" stopIfTrue="1">
      <formula>$C$823="x"</formula>
    </cfRule>
  </conditionalFormatting>
  <conditionalFormatting sqref="B833">
    <cfRule type="expression" dxfId="350" priority="450" stopIfTrue="1">
      <formula>$C$832="x"</formula>
    </cfRule>
  </conditionalFormatting>
  <conditionalFormatting sqref="B853">
    <cfRule type="expression" dxfId="349" priority="451" stopIfTrue="1">
      <formula>$C$852="x"</formula>
    </cfRule>
  </conditionalFormatting>
  <conditionalFormatting sqref="B863">
    <cfRule type="expression" dxfId="348" priority="452" stopIfTrue="1">
      <formula>$C$862="x"</formula>
    </cfRule>
  </conditionalFormatting>
  <conditionalFormatting sqref="E871 C873 D875">
    <cfRule type="cellIs" dxfId="347" priority="453" stopIfTrue="1" operator="equal">
      <formula>"x"</formula>
    </cfRule>
    <cfRule type="expression" dxfId="346" priority="454" stopIfTrue="1">
      <formula>$C$877="x"</formula>
    </cfRule>
  </conditionalFormatting>
  <conditionalFormatting sqref="C884">
    <cfRule type="cellIs" dxfId="345" priority="455" stopIfTrue="1" operator="equal">
      <formula>"degradatie"</formula>
    </cfRule>
  </conditionalFormatting>
  <conditionalFormatting sqref="C887">
    <cfRule type="cellIs" dxfId="344" priority="456" stopIfTrue="1" operator="equal">
      <formula>"mobbing"</formula>
    </cfRule>
  </conditionalFormatting>
  <conditionalFormatting sqref="C885">
    <cfRule type="cellIs" dxfId="343" priority="457" stopIfTrue="1" operator="equal">
      <formula>"ontslag"</formula>
    </cfRule>
  </conditionalFormatting>
  <conditionalFormatting sqref="C886">
    <cfRule type="cellIs" dxfId="342" priority="458" stopIfTrue="1" operator="equal">
      <formula>"coaching"</formula>
    </cfRule>
  </conditionalFormatting>
  <conditionalFormatting sqref="C888">
    <cfRule type="cellIs" dxfId="341" priority="459" stopIfTrue="1" operator="equal">
      <formula>"beoordelen"</formula>
    </cfRule>
  </conditionalFormatting>
  <conditionalFormatting sqref="C889">
    <cfRule type="cellIs" dxfId="340" priority="460" stopIfTrue="1" operator="equal">
      <formula>"afwijzing"</formula>
    </cfRule>
  </conditionalFormatting>
  <conditionalFormatting sqref="D884:D889">
    <cfRule type="expression" dxfId="339" priority="461" stopIfTrue="1">
      <formula>$C$891="x"</formula>
    </cfRule>
  </conditionalFormatting>
  <conditionalFormatting sqref="B902">
    <cfRule type="expression" dxfId="338" priority="462" stopIfTrue="1">
      <formula>$C$901="x"</formula>
    </cfRule>
  </conditionalFormatting>
  <conditionalFormatting sqref="D907">
    <cfRule type="cellIs" dxfId="337" priority="463" stopIfTrue="1" operator="equal">
      <formula>"wisselwerking"</formula>
    </cfRule>
  </conditionalFormatting>
  <conditionalFormatting sqref="D908">
    <cfRule type="cellIs" dxfId="336" priority="464" stopIfTrue="1" operator="equal">
      <formula>"gelijkwaardigheid"</formula>
    </cfRule>
  </conditionalFormatting>
  <conditionalFormatting sqref="E907:F908">
    <cfRule type="expression" dxfId="335" priority="465" stopIfTrue="1">
      <formula>$C$911="x"</formula>
    </cfRule>
  </conditionalFormatting>
  <conditionalFormatting sqref="B971">
    <cfRule type="expression" dxfId="334" priority="466" stopIfTrue="1">
      <formula>$C$970="x"</formula>
    </cfRule>
  </conditionalFormatting>
  <conditionalFormatting sqref="B1002">
    <cfRule type="expression" dxfId="333" priority="467" stopIfTrue="1">
      <formula>$C$1001="x"</formula>
    </cfRule>
  </conditionalFormatting>
  <conditionalFormatting sqref="E989">
    <cfRule type="expression" dxfId="332" priority="468" stopIfTrue="1">
      <formula>$K$989=1</formula>
    </cfRule>
  </conditionalFormatting>
  <conditionalFormatting sqref="G1008">
    <cfRule type="expression" dxfId="331" priority="469" stopIfTrue="1">
      <formula>$C$1010="x"</formula>
    </cfRule>
  </conditionalFormatting>
  <conditionalFormatting sqref="B1020">
    <cfRule type="expression" dxfId="330" priority="470" stopIfTrue="1">
      <formula>$C$1019="x"</formula>
    </cfRule>
  </conditionalFormatting>
  <conditionalFormatting sqref="B1031">
    <cfRule type="expression" dxfId="329" priority="471" stopIfTrue="1">
      <formula>$C$1030="x"</formula>
    </cfRule>
  </conditionalFormatting>
  <conditionalFormatting sqref="B1064">
    <cfRule type="expression" dxfId="328" priority="472" stopIfTrue="1">
      <formula>$C$1063="x"</formula>
    </cfRule>
  </conditionalFormatting>
  <conditionalFormatting sqref="B1074">
    <cfRule type="expression" dxfId="327" priority="473" stopIfTrue="1">
      <formula>$C$1073="x"</formula>
    </cfRule>
  </conditionalFormatting>
  <conditionalFormatting sqref="D1080">
    <cfRule type="cellIs" dxfId="326" priority="474" stopIfTrue="1" operator="equal">
      <formula>7</formula>
    </cfRule>
    <cfRule type="cellIs" dxfId="325" priority="475" stopIfTrue="1" operator="lessThan">
      <formula>4</formula>
    </cfRule>
    <cfRule type="cellIs" dxfId="324" priority="476" stopIfTrue="1" operator="between">
      <formula>4</formula>
      <formula>6</formula>
    </cfRule>
  </conditionalFormatting>
  <conditionalFormatting sqref="B1084">
    <cfRule type="expression" dxfId="323" priority="477" stopIfTrue="1">
      <formula>$C$1083="x"</formula>
    </cfRule>
  </conditionalFormatting>
  <conditionalFormatting sqref="B1122">
    <cfRule type="expression" dxfId="322" priority="478" stopIfTrue="1">
      <formula>$C$1121="x"</formula>
    </cfRule>
  </conditionalFormatting>
  <conditionalFormatting sqref="D1210 D1152">
    <cfRule type="expression" dxfId="321" priority="479" stopIfTrue="1">
      <formula>$C$1156="x"</formula>
    </cfRule>
  </conditionalFormatting>
  <conditionalFormatting sqref="D1229:F1229">
    <cfRule type="expression" dxfId="320" priority="480" stopIfTrue="1">
      <formula>$C$1230="x"</formula>
    </cfRule>
  </conditionalFormatting>
  <conditionalFormatting sqref="D1228:F1228">
    <cfRule type="expression" dxfId="319" priority="481" stopIfTrue="1">
      <formula>$K$1225+$K$1227=1</formula>
    </cfRule>
    <cfRule type="expression" dxfId="318" priority="482" stopIfTrue="1">
      <formula>$K$1225=0.5</formula>
    </cfRule>
    <cfRule type="expression" dxfId="317" priority="483" stopIfTrue="1">
      <formula>$K$1227=0.5</formula>
    </cfRule>
  </conditionalFormatting>
  <conditionalFormatting sqref="C1235">
    <cfRule type="expression" dxfId="316" priority="484" stopIfTrue="1">
      <formula>$K$1234+$K$1236=1</formula>
    </cfRule>
    <cfRule type="expression" dxfId="315" priority="485" stopIfTrue="1">
      <formula>$K$1234=0.5</formula>
    </cfRule>
    <cfRule type="expression" dxfId="314" priority="486" stopIfTrue="1">
      <formula>$K$1236=0.5</formula>
    </cfRule>
  </conditionalFormatting>
  <conditionalFormatting sqref="B1238">
    <cfRule type="expression" dxfId="313" priority="487" stopIfTrue="1">
      <formula>$C$1237="x"</formula>
    </cfRule>
  </conditionalFormatting>
  <conditionalFormatting sqref="G1278">
    <cfRule type="expression" dxfId="312" priority="488" stopIfTrue="1">
      <formula>$K$1269=1</formula>
    </cfRule>
  </conditionalFormatting>
  <conditionalFormatting sqref="B1280">
    <cfRule type="expression" dxfId="311" priority="489" stopIfTrue="1">
      <formula>$C$1279="x"</formula>
    </cfRule>
  </conditionalFormatting>
  <conditionalFormatting sqref="B1288">
    <cfRule type="expression" dxfId="310" priority="490" stopIfTrue="1">
      <formula>$C$1287="x"</formula>
    </cfRule>
  </conditionalFormatting>
  <conditionalFormatting sqref="D1212:D1213">
    <cfRule type="expression" dxfId="309" priority="491" stopIfTrue="1">
      <formula>$C$1215="x"</formula>
    </cfRule>
  </conditionalFormatting>
  <conditionalFormatting sqref="E1304">
    <cfRule type="expression" dxfId="308" priority="492" stopIfTrue="1">
      <formula>$C$1309="x"</formula>
    </cfRule>
  </conditionalFormatting>
  <conditionalFormatting sqref="B1318">
    <cfRule type="expression" dxfId="307" priority="493" stopIfTrue="1">
      <formula>$C$1317="x"</formula>
    </cfRule>
  </conditionalFormatting>
  <conditionalFormatting sqref="C1340">
    <cfRule type="expression" dxfId="306" priority="495" stopIfTrue="1">
      <formula>$K$1341=1</formula>
    </cfRule>
  </conditionalFormatting>
  <conditionalFormatting sqref="C1343">
    <cfRule type="expression" dxfId="305" priority="496" stopIfTrue="1">
      <formula>$K$1343=1</formula>
    </cfRule>
  </conditionalFormatting>
  <conditionalFormatting sqref="C1346">
    <cfRule type="expression" dxfId="304" priority="497" stopIfTrue="1">
      <formula>$K$1346=1</formula>
    </cfRule>
  </conditionalFormatting>
  <conditionalFormatting sqref="D1340 D1343 D1346">
    <cfRule type="expression" dxfId="303" priority="498" stopIfTrue="1">
      <formula>$C$1348="x"</formula>
    </cfRule>
  </conditionalFormatting>
  <conditionalFormatting sqref="F541">
    <cfRule type="expression" dxfId="302" priority="499" stopIfTrue="1">
      <formula>$C$561="x"</formula>
    </cfRule>
  </conditionalFormatting>
  <conditionalFormatting sqref="F542 F544:F545 F547:F548 F550:F551 F553 F555 F557 F559">
    <cfRule type="expression" dxfId="301" priority="500" stopIfTrue="1">
      <formula>$C$561="x"</formula>
    </cfRule>
  </conditionalFormatting>
  <conditionalFormatting sqref="D1356">
    <cfRule type="cellIs" dxfId="300" priority="501" stopIfTrue="1" operator="equal">
      <formula>"gefeliciteerd!"</formula>
    </cfRule>
  </conditionalFormatting>
  <conditionalFormatting sqref="F1038 E1040 G1042 D1045 C1048 G1050 F1052">
    <cfRule type="expression" dxfId="299" priority="502" stopIfTrue="1">
      <formula>$C$1055="x"</formula>
    </cfRule>
  </conditionalFormatting>
  <conditionalFormatting sqref="F1107">
    <cfRule type="expression" dxfId="298" priority="380" stopIfTrue="1">
      <formula>$F$1106="x"</formula>
    </cfRule>
  </conditionalFormatting>
  <conditionalFormatting sqref="B718">
    <cfRule type="containsText" dxfId="297" priority="363" operator="containsText" text="Regelcapaciteit">
      <formula>NOT(ISERROR(SEARCH("Regelcapaciteit",B718)))</formula>
    </cfRule>
  </conditionalFormatting>
  <conditionalFormatting sqref="B732 B706 B1165">
    <cfRule type="containsText" dxfId="296" priority="360" operator="containsText" text="Het juiste antwoord">
      <formula>NOT(ISERROR(SEARCH("Het juiste antwoord",B706)))</formula>
    </cfRule>
  </conditionalFormatting>
  <conditionalFormatting sqref="C837:E837 D263 D265 E266 E268 D269 D271 D273 E275 E277 D279 E281 G343 F344:F345 G346:G347 F348:F350 D392 D394 E395 D397:D398 E400 D402 E404 D406 E408 E410">
    <cfRule type="cellIs" dxfId="295" priority="249" operator="equal">
      <formula>"x"</formula>
    </cfRule>
  </conditionalFormatting>
  <conditionalFormatting sqref="F837">
    <cfRule type="cellIs" dxfId="294" priority="246" operator="equal">
      <formula>"x"</formula>
    </cfRule>
  </conditionalFormatting>
  <conditionalFormatting sqref="D1244:D1249">
    <cfRule type="expression" dxfId="293" priority="240">
      <formula>$C$1251="x"</formula>
    </cfRule>
  </conditionalFormatting>
  <conditionalFormatting sqref="G1258:G1263">
    <cfRule type="expression" dxfId="292" priority="238">
      <formula>$C$1265="X"</formula>
    </cfRule>
    <cfRule type="expression" dxfId="291" priority="239">
      <formula>$C$1251="x"</formula>
    </cfRule>
  </conditionalFormatting>
  <conditionalFormatting sqref="D237">
    <cfRule type="cellIs" dxfId="290" priority="236" operator="equal">
      <formula>"x"</formula>
    </cfRule>
  </conditionalFormatting>
  <conditionalFormatting sqref="E237 E263 E265 E269 E271 E273 E279 D266 D268 D275 D277 D281 F343 F346:F347 G344:G345 G348:G350 E392 E394 D395 E397:E398 D400 E402 D404 E406 D408 D410">
    <cfRule type="cellIs" dxfId="289" priority="235" operator="equal">
      <formula>"x"</formula>
    </cfRule>
  </conditionalFormatting>
  <conditionalFormatting sqref="E522 E528 E536">
    <cfRule type="expression" dxfId="288" priority="180">
      <formula>$B$536="x"</formula>
    </cfRule>
  </conditionalFormatting>
  <conditionalFormatting sqref="B815">
    <cfRule type="expression" dxfId="287" priority="177">
      <formula>$C$814="x"</formula>
    </cfRule>
  </conditionalFormatting>
  <conditionalFormatting sqref="D917">
    <cfRule type="cellIs" dxfId="286" priority="176" operator="equal">
      <formula>"x"</formula>
    </cfRule>
  </conditionalFormatting>
  <conditionalFormatting sqref="E917">
    <cfRule type="cellIs" dxfId="285" priority="175" operator="equal">
      <formula>"x"</formula>
    </cfRule>
  </conditionalFormatting>
  <conditionalFormatting sqref="D925">
    <cfRule type="cellIs" dxfId="284" priority="174" operator="equal">
      <formula>"x"</formula>
    </cfRule>
  </conditionalFormatting>
  <conditionalFormatting sqref="E925">
    <cfRule type="cellIs" dxfId="283" priority="173" operator="equal">
      <formula>"x"</formula>
    </cfRule>
  </conditionalFormatting>
  <conditionalFormatting sqref="D934">
    <cfRule type="cellIs" dxfId="282" priority="172" operator="equal">
      <formula>"x"</formula>
    </cfRule>
  </conditionalFormatting>
  <conditionalFormatting sqref="E935">
    <cfRule type="cellIs" dxfId="281" priority="171" operator="equal">
      <formula>"x"</formula>
    </cfRule>
  </conditionalFormatting>
  <conditionalFormatting sqref="E936">
    <cfRule type="cellIs" dxfId="280" priority="170" operator="equal">
      <formula>"x"</formula>
    </cfRule>
  </conditionalFormatting>
  <conditionalFormatting sqref="D937:D938">
    <cfRule type="cellIs" dxfId="279" priority="169" operator="equal">
      <formula>"x"</formula>
    </cfRule>
  </conditionalFormatting>
  <conditionalFormatting sqref="E934">
    <cfRule type="cellIs" dxfId="278" priority="168" operator="equal">
      <formula>"x"</formula>
    </cfRule>
  </conditionalFormatting>
  <conditionalFormatting sqref="D935:D936">
    <cfRule type="cellIs" dxfId="277" priority="167" operator="equal">
      <formula>"x"</formula>
    </cfRule>
  </conditionalFormatting>
  <conditionalFormatting sqref="E937:E938">
    <cfRule type="cellIs" dxfId="276" priority="166" operator="equal">
      <formula>"x"</formula>
    </cfRule>
  </conditionalFormatting>
  <conditionalFormatting sqref="D946">
    <cfRule type="cellIs" dxfId="275" priority="165" operator="equal">
      <formula>"x"</formula>
    </cfRule>
  </conditionalFormatting>
  <conditionalFormatting sqref="C949">
    <cfRule type="cellIs" dxfId="274" priority="164" operator="equal">
      <formula>"x"</formula>
    </cfRule>
  </conditionalFormatting>
  <conditionalFormatting sqref="C952">
    <cfRule type="cellIs" dxfId="273" priority="163" operator="equal">
      <formula>"x"</formula>
    </cfRule>
  </conditionalFormatting>
  <conditionalFormatting sqref="D954">
    <cfRule type="cellIs" dxfId="272" priority="162" operator="equal">
      <formula>"x"</formula>
    </cfRule>
  </conditionalFormatting>
  <conditionalFormatting sqref="D957">
    <cfRule type="cellIs" dxfId="271" priority="161" operator="equal">
      <formula>"x"</formula>
    </cfRule>
  </conditionalFormatting>
  <conditionalFormatting sqref="C960">
    <cfRule type="cellIs" dxfId="270" priority="160" operator="equal">
      <formula>"x"</formula>
    </cfRule>
  </conditionalFormatting>
  <conditionalFormatting sqref="C946">
    <cfRule type="cellIs" dxfId="269" priority="159" operator="equal">
      <formula>"x"</formula>
    </cfRule>
  </conditionalFormatting>
  <conditionalFormatting sqref="D949">
    <cfRule type="cellIs" dxfId="268" priority="158" operator="equal">
      <formula>"x"</formula>
    </cfRule>
  </conditionalFormatting>
  <conditionalFormatting sqref="D952">
    <cfRule type="cellIs" dxfId="267" priority="157" operator="equal">
      <formula>"x"</formula>
    </cfRule>
  </conditionalFormatting>
  <conditionalFormatting sqref="C954">
    <cfRule type="cellIs" dxfId="266" priority="156" operator="equal">
      <formula>"x"</formula>
    </cfRule>
  </conditionalFormatting>
  <conditionalFormatting sqref="C957">
    <cfRule type="cellIs" dxfId="265" priority="155" operator="equal">
      <formula>"x"</formula>
    </cfRule>
  </conditionalFormatting>
  <conditionalFormatting sqref="D960">
    <cfRule type="cellIs" dxfId="264" priority="154" operator="equal">
      <formula>"x"</formula>
    </cfRule>
  </conditionalFormatting>
  <conditionalFormatting sqref="E984">
    <cfRule type="cellIs" dxfId="263" priority="153" operator="equal">
      <formula>"x"</formula>
    </cfRule>
  </conditionalFormatting>
  <conditionalFormatting sqref="D984">
    <cfRule type="cellIs" dxfId="262" priority="152" operator="equal">
      <formula>"x"</formula>
    </cfRule>
  </conditionalFormatting>
  <conditionalFormatting sqref="D1178">
    <cfRule type="cellIs" dxfId="261" priority="151" operator="equal">
      <formula>"x"</formula>
    </cfRule>
  </conditionalFormatting>
  <conditionalFormatting sqref="E1178:F1178">
    <cfRule type="cellIs" dxfId="260" priority="150" operator="equal">
      <formula>"x"</formula>
    </cfRule>
  </conditionalFormatting>
  <conditionalFormatting sqref="G1178">
    <cfRule type="cellIs" dxfId="259" priority="149" operator="equal">
      <formula>"x"</formula>
    </cfRule>
  </conditionalFormatting>
  <conditionalFormatting sqref="F1298">
    <cfRule type="cellIs" dxfId="258" priority="148" operator="equal">
      <formula>"x"</formula>
    </cfRule>
  </conditionalFormatting>
  <conditionalFormatting sqref="F1297">
    <cfRule type="cellIs" dxfId="257" priority="147" operator="equal">
      <formula>"x"</formula>
    </cfRule>
  </conditionalFormatting>
  <conditionalFormatting sqref="B1326">
    <cfRule type="expression" dxfId="256" priority="146">
      <formula>$C$1325="x"</formula>
    </cfRule>
  </conditionalFormatting>
  <conditionalFormatting sqref="B1334">
    <cfRule type="expression" dxfId="255" priority="145">
      <formula>$C$1333="x"</formula>
    </cfRule>
  </conditionalFormatting>
  <conditionalFormatting sqref="F77">
    <cfRule type="cellIs" dxfId="254" priority="144" operator="equal">
      <formula>"x"</formula>
    </cfRule>
  </conditionalFormatting>
  <conditionalFormatting sqref="F78">
    <cfRule type="cellIs" dxfId="253" priority="143" operator="equal">
      <formula>"x"</formula>
    </cfRule>
  </conditionalFormatting>
  <conditionalFormatting sqref="F79">
    <cfRule type="cellIs" dxfId="252" priority="142" operator="equal">
      <formula>"x"</formula>
    </cfRule>
  </conditionalFormatting>
  <conditionalFormatting sqref="D148">
    <cfRule type="cellIs" dxfId="251" priority="141" operator="equal">
      <formula>"x"</formula>
    </cfRule>
  </conditionalFormatting>
  <conditionalFormatting sqref="D150">
    <cfRule type="cellIs" dxfId="250" priority="140" operator="equal">
      <formula>"x"</formula>
    </cfRule>
  </conditionalFormatting>
  <conditionalFormatting sqref="E148">
    <cfRule type="cellIs" dxfId="249" priority="139" operator="equal">
      <formula>"x"</formula>
    </cfRule>
  </conditionalFormatting>
  <conditionalFormatting sqref="E150">
    <cfRule type="cellIs" dxfId="248" priority="138" operator="equal">
      <formula>"x"</formula>
    </cfRule>
  </conditionalFormatting>
  <conditionalFormatting sqref="D149">
    <cfRule type="cellIs" dxfId="247" priority="137" operator="equal">
      <formula>"x"</formula>
    </cfRule>
  </conditionalFormatting>
  <conditionalFormatting sqref="E148">
    <cfRule type="cellIs" dxfId="246" priority="136" operator="equal">
      <formula>"x"</formula>
    </cfRule>
  </conditionalFormatting>
  <conditionalFormatting sqref="E150">
    <cfRule type="cellIs" dxfId="245" priority="135" operator="equal">
      <formula>"x"</formula>
    </cfRule>
  </conditionalFormatting>
  <conditionalFormatting sqref="E150">
    <cfRule type="cellIs" dxfId="244" priority="134" operator="equal">
      <formula>"x"</formula>
    </cfRule>
  </conditionalFormatting>
  <conditionalFormatting sqref="E149">
    <cfRule type="cellIs" dxfId="243" priority="133" operator="equal">
      <formula>"x"</formula>
    </cfRule>
  </conditionalFormatting>
  <conditionalFormatting sqref="C201">
    <cfRule type="cellIs" dxfId="242" priority="132" operator="equal">
      <formula>"x"</formula>
    </cfRule>
  </conditionalFormatting>
  <conditionalFormatting sqref="E201">
    <cfRule type="cellIs" dxfId="241" priority="131" operator="equal">
      <formula>"x"</formula>
    </cfRule>
  </conditionalFormatting>
  <conditionalFormatting sqref="F201">
    <cfRule type="cellIs" dxfId="240" priority="130" operator="equal">
      <formula>"x"</formula>
    </cfRule>
  </conditionalFormatting>
  <conditionalFormatting sqref="D201">
    <cfRule type="cellIs" dxfId="239" priority="129" operator="equal">
      <formula>"x"</formula>
    </cfRule>
  </conditionalFormatting>
  <conditionalFormatting sqref="F213">
    <cfRule type="cellIs" dxfId="238" priority="128" operator="equal">
      <formula>"x"</formula>
    </cfRule>
  </conditionalFormatting>
  <conditionalFormatting sqref="C213:E213">
    <cfRule type="cellIs" dxfId="237" priority="127" operator="equal">
      <formula>"x"</formula>
    </cfRule>
  </conditionalFormatting>
  <conditionalFormatting sqref="C247">
    <cfRule type="cellIs" dxfId="236" priority="126" operator="equal">
      <formula>"x"</formula>
    </cfRule>
  </conditionalFormatting>
  <conditionalFormatting sqref="D247:F247">
    <cfRule type="cellIs" dxfId="235" priority="125" operator="equal">
      <formula>"x"</formula>
    </cfRule>
  </conditionalFormatting>
  <conditionalFormatting sqref="D355">
    <cfRule type="cellIs" dxfId="234" priority="124" operator="equal">
      <formula>"x"</formula>
    </cfRule>
  </conditionalFormatting>
  <conditionalFormatting sqref="E367">
    <cfRule type="cellIs" dxfId="233" priority="123" operator="equal">
      <formula>"x"</formula>
    </cfRule>
  </conditionalFormatting>
  <conditionalFormatting sqref="D379">
    <cfRule type="cellIs" dxfId="232" priority="122" operator="equal">
      <formula>"x"</formula>
    </cfRule>
  </conditionalFormatting>
  <conditionalFormatting sqref="E355:F355">
    <cfRule type="cellIs" dxfId="231" priority="121" operator="equal">
      <formula>"x"</formula>
    </cfRule>
  </conditionalFormatting>
  <conditionalFormatting sqref="C355">
    <cfRule type="cellIs" dxfId="230" priority="120" operator="equal">
      <formula>"x"</formula>
    </cfRule>
  </conditionalFormatting>
  <conditionalFormatting sqref="C367:D367">
    <cfRule type="cellIs" dxfId="229" priority="119" operator="equal">
      <formula>"x"</formula>
    </cfRule>
  </conditionalFormatting>
  <conditionalFormatting sqref="F367">
    <cfRule type="cellIs" dxfId="228" priority="118" operator="equal">
      <formula>"x"</formula>
    </cfRule>
  </conditionalFormatting>
  <conditionalFormatting sqref="C379">
    <cfRule type="cellIs" dxfId="227" priority="117" operator="equal">
      <formula>"x"</formula>
    </cfRule>
  </conditionalFormatting>
  <conditionalFormatting sqref="E379:F379">
    <cfRule type="cellIs" dxfId="226" priority="116" operator="equal">
      <formula>"x"</formula>
    </cfRule>
  </conditionalFormatting>
  <conditionalFormatting sqref="E468">
    <cfRule type="cellIs" dxfId="225" priority="115" operator="equal">
      <formula>"x"</formula>
    </cfRule>
  </conditionalFormatting>
  <conditionalFormatting sqref="E418">
    <cfRule type="cellIs" dxfId="224" priority="114" operator="equal">
      <formula>"x"</formula>
    </cfRule>
  </conditionalFormatting>
  <conditionalFormatting sqref="C468:D468">
    <cfRule type="cellIs" dxfId="223" priority="113" operator="equal">
      <formula>"x"</formula>
    </cfRule>
  </conditionalFormatting>
  <conditionalFormatting sqref="F468">
    <cfRule type="cellIs" dxfId="222" priority="112" operator="equal">
      <formula>"x"</formula>
    </cfRule>
  </conditionalFormatting>
  <conditionalFormatting sqref="C490">
    <cfRule type="cellIs" dxfId="221" priority="111" operator="equal">
      <formula>"x"</formula>
    </cfRule>
    <cfRule type="cellIs" dxfId="220" priority="110" operator="equal">
      <formula>"x"</formula>
    </cfRule>
  </conditionalFormatting>
  <conditionalFormatting sqref="C490">
    <cfRule type="cellIs" dxfId="219" priority="109" operator="equal">
      <formula>"x"</formula>
    </cfRule>
  </conditionalFormatting>
  <conditionalFormatting sqref="D490:E490">
    <cfRule type="cellIs" dxfId="218" priority="108" operator="equal">
      <formula>"x"</formula>
    </cfRule>
  </conditionalFormatting>
  <conditionalFormatting sqref="F490">
    <cfRule type="cellIs" dxfId="217" priority="107" operator="equal">
      <formula>"x"</formula>
    </cfRule>
  </conditionalFormatting>
  <conditionalFormatting sqref="D578">
    <cfRule type="cellIs" dxfId="216" priority="106" operator="equal">
      <formula>"x"</formula>
    </cfRule>
  </conditionalFormatting>
  <conditionalFormatting sqref="C529">
    <cfRule type="cellIs" dxfId="215" priority="104" operator="equal">
      <formula>"x"</formula>
    </cfRule>
    <cfRule type="cellIs" dxfId="214" priority="105" operator="equal">
      <formula>"x"</formula>
    </cfRule>
  </conditionalFormatting>
  <conditionalFormatting sqref="C529">
    <cfRule type="cellIs" dxfId="213" priority="103" operator="equal">
      <formula>"x"</formula>
    </cfRule>
  </conditionalFormatting>
  <conditionalFormatting sqref="E578">
    <cfRule type="cellIs" dxfId="212" priority="101" operator="equal">
      <formula>"x"</formula>
    </cfRule>
    <cfRule type="cellIs" dxfId="211" priority="102" operator="equal">
      <formula>"x"</formula>
    </cfRule>
  </conditionalFormatting>
  <conditionalFormatting sqref="E578">
    <cfRule type="cellIs" dxfId="210" priority="100" operator="equal">
      <formula>"x"</formula>
    </cfRule>
  </conditionalFormatting>
  <conditionalFormatting sqref="F578">
    <cfRule type="cellIs" dxfId="209" priority="98" operator="equal">
      <formula>"x"</formula>
    </cfRule>
    <cfRule type="cellIs" dxfId="208" priority="99" operator="equal">
      <formula>"x"</formula>
    </cfRule>
  </conditionalFormatting>
  <conditionalFormatting sqref="F578">
    <cfRule type="cellIs" dxfId="207" priority="97" operator="equal">
      <formula>"x"</formula>
    </cfRule>
  </conditionalFormatting>
  <conditionalFormatting sqref="C578">
    <cfRule type="cellIs" dxfId="206" priority="95" operator="equal">
      <formula>"x"</formula>
    </cfRule>
    <cfRule type="cellIs" dxfId="205" priority="96" operator="equal">
      <formula>"x"</formula>
    </cfRule>
  </conditionalFormatting>
  <conditionalFormatting sqref="C578">
    <cfRule type="cellIs" dxfId="204" priority="94" operator="equal">
      <formula>"x"</formula>
    </cfRule>
  </conditionalFormatting>
  <conditionalFormatting sqref="C614">
    <cfRule type="cellIs" dxfId="203" priority="93" operator="equal">
      <formula>"x"</formula>
    </cfRule>
  </conditionalFormatting>
  <conditionalFormatting sqref="D614:F614">
    <cfRule type="cellIs" dxfId="202" priority="91" operator="equal">
      <formula>"x"</formula>
    </cfRule>
    <cfRule type="cellIs" dxfId="201" priority="92" operator="equal">
      <formula>"x"</formula>
    </cfRule>
  </conditionalFormatting>
  <conditionalFormatting sqref="D614:F614">
    <cfRule type="cellIs" dxfId="200" priority="90" operator="equal">
      <formula>"x"</formula>
    </cfRule>
  </conditionalFormatting>
  <conditionalFormatting sqref="F652">
    <cfRule type="cellIs" dxfId="199" priority="89" operator="equal">
      <formula>"x"</formula>
    </cfRule>
  </conditionalFormatting>
  <conditionalFormatting sqref="C652:E652">
    <cfRule type="cellIs" dxfId="198" priority="87" operator="equal">
      <formula>"x"</formula>
    </cfRule>
    <cfRule type="cellIs" dxfId="197" priority="88" operator="equal">
      <formula>"x"</formula>
    </cfRule>
  </conditionalFormatting>
  <conditionalFormatting sqref="C652:E652">
    <cfRule type="cellIs" dxfId="196" priority="86" operator="equal">
      <formula>"x"</formula>
    </cfRule>
  </conditionalFormatting>
  <conditionalFormatting sqref="F698">
    <cfRule type="cellIs" dxfId="195" priority="85" operator="equal">
      <formula>"x"</formula>
    </cfRule>
  </conditionalFormatting>
  <conditionalFormatting sqref="D698:E698">
    <cfRule type="cellIs" dxfId="194" priority="83" operator="equal">
      <formula>"x"</formula>
    </cfRule>
    <cfRule type="cellIs" dxfId="193" priority="84" operator="equal">
      <formula>"x"</formula>
    </cfRule>
  </conditionalFormatting>
  <conditionalFormatting sqref="D698:E698">
    <cfRule type="cellIs" dxfId="192" priority="82" operator="equal">
      <formula>"x"</formula>
    </cfRule>
  </conditionalFormatting>
  <conditionalFormatting sqref="G698">
    <cfRule type="cellIs" dxfId="191" priority="80" operator="equal">
      <formula>"x"</formula>
    </cfRule>
    <cfRule type="cellIs" dxfId="190" priority="81" operator="equal">
      <formula>"x"</formula>
    </cfRule>
  </conditionalFormatting>
  <conditionalFormatting sqref="G698">
    <cfRule type="cellIs" dxfId="189" priority="79" operator="equal">
      <formula>"x"</formula>
    </cfRule>
  </conditionalFormatting>
  <conditionalFormatting sqref="E726">
    <cfRule type="cellIs" dxfId="188" priority="78" operator="equal">
      <formula>"x"</formula>
    </cfRule>
  </conditionalFormatting>
  <conditionalFormatting sqref="D726">
    <cfRule type="cellIs" dxfId="187" priority="76" operator="equal">
      <formula>"x"</formula>
    </cfRule>
    <cfRule type="cellIs" dxfId="186" priority="77" operator="equal">
      <formula>"x"</formula>
    </cfRule>
  </conditionalFormatting>
  <conditionalFormatting sqref="D726">
    <cfRule type="cellIs" dxfId="185" priority="75" operator="equal">
      <formula>"x"</formula>
    </cfRule>
  </conditionalFormatting>
  <conditionalFormatting sqref="F726:G726">
    <cfRule type="cellIs" dxfId="184" priority="73" operator="equal">
      <formula>"x"</formula>
    </cfRule>
    <cfRule type="cellIs" dxfId="183" priority="74" operator="equal">
      <formula>"x"</formula>
    </cfRule>
  </conditionalFormatting>
  <conditionalFormatting sqref="F726:G726">
    <cfRule type="cellIs" dxfId="182" priority="72" operator="equal">
      <formula>"x"</formula>
    </cfRule>
  </conditionalFormatting>
  <conditionalFormatting sqref="C752">
    <cfRule type="cellIs" dxfId="181" priority="71" operator="equal">
      <formula>"x"</formula>
    </cfRule>
  </conditionalFormatting>
  <conditionalFormatting sqref="D752:F752">
    <cfRule type="cellIs" dxfId="180" priority="69" operator="equal">
      <formula>"x"</formula>
    </cfRule>
    <cfRule type="cellIs" dxfId="179" priority="70" operator="equal">
      <formula>"x"</formula>
    </cfRule>
  </conditionalFormatting>
  <conditionalFormatting sqref="D752:F752">
    <cfRule type="cellIs" dxfId="178" priority="68" operator="equal">
      <formula>"x"</formula>
    </cfRule>
  </conditionalFormatting>
  <conditionalFormatting sqref="E786">
    <cfRule type="cellIs" dxfId="177" priority="67" operator="equal">
      <formula>"x"</formula>
    </cfRule>
  </conditionalFormatting>
  <conditionalFormatting sqref="C786:D786">
    <cfRule type="cellIs" dxfId="176" priority="65" operator="equal">
      <formula>"x"</formula>
    </cfRule>
    <cfRule type="cellIs" dxfId="175" priority="66" operator="equal">
      <formula>"x"</formula>
    </cfRule>
  </conditionalFormatting>
  <conditionalFormatting sqref="C786:D786">
    <cfRule type="cellIs" dxfId="174" priority="64" operator="equal">
      <formula>"x"</formula>
    </cfRule>
  </conditionalFormatting>
  <conditionalFormatting sqref="F786">
    <cfRule type="cellIs" dxfId="173" priority="62" operator="equal">
      <formula>"x"</formula>
    </cfRule>
    <cfRule type="cellIs" dxfId="172" priority="63" operator="equal">
      <formula>"x"</formula>
    </cfRule>
  </conditionalFormatting>
  <conditionalFormatting sqref="F786">
    <cfRule type="cellIs" dxfId="171" priority="61" operator="equal">
      <formula>"x"</formula>
    </cfRule>
  </conditionalFormatting>
  <conditionalFormatting sqref="D795">
    <cfRule type="cellIs" dxfId="170" priority="60" operator="equal">
      <formula>"x"</formula>
    </cfRule>
  </conditionalFormatting>
  <conditionalFormatting sqref="C795">
    <cfRule type="cellIs" dxfId="169" priority="58" operator="equal">
      <formula>"x"</formula>
    </cfRule>
    <cfRule type="cellIs" dxfId="168" priority="59" operator="equal">
      <formula>"x"</formula>
    </cfRule>
  </conditionalFormatting>
  <conditionalFormatting sqref="C795">
    <cfRule type="cellIs" dxfId="167" priority="57" operator="equal">
      <formula>"x"</formula>
    </cfRule>
  </conditionalFormatting>
  <conditionalFormatting sqref="E795:F795">
    <cfRule type="cellIs" dxfId="166" priority="55" operator="equal">
      <formula>"x"</formula>
    </cfRule>
    <cfRule type="cellIs" dxfId="165" priority="56" operator="equal">
      <formula>"x"</formula>
    </cfRule>
  </conditionalFormatting>
  <conditionalFormatting sqref="E795:F795">
    <cfRule type="cellIs" dxfId="164" priority="54" operator="equal">
      <formula>"x"</formula>
    </cfRule>
  </conditionalFormatting>
  <conditionalFormatting sqref="F828">
    <cfRule type="cellIs" dxfId="163" priority="53" operator="equal">
      <formula>"x"</formula>
    </cfRule>
  </conditionalFormatting>
  <conditionalFormatting sqref="C828:E828">
    <cfRule type="cellIs" dxfId="162" priority="51" operator="equal">
      <formula>"x"</formula>
    </cfRule>
    <cfRule type="cellIs" dxfId="161" priority="52" operator="equal">
      <formula>"x"</formula>
    </cfRule>
  </conditionalFormatting>
  <conditionalFormatting sqref="C828:E828">
    <cfRule type="cellIs" dxfId="160" priority="50" operator="equal">
      <formula>"x"</formula>
    </cfRule>
  </conditionalFormatting>
  <conditionalFormatting sqref="E847">
    <cfRule type="cellIs" dxfId="159" priority="49" operator="equal">
      <formula>"x"</formula>
    </cfRule>
  </conditionalFormatting>
  <conditionalFormatting sqref="C847:D847">
    <cfRule type="cellIs" dxfId="158" priority="48" operator="equal">
      <formula>"x"</formula>
    </cfRule>
  </conditionalFormatting>
  <conditionalFormatting sqref="F847">
    <cfRule type="cellIs" dxfId="157" priority="47" operator="equal">
      <formula>"x"</formula>
    </cfRule>
  </conditionalFormatting>
  <conditionalFormatting sqref="D857">
    <cfRule type="cellIs" dxfId="156" priority="46" operator="equal">
      <formula>"x"</formula>
    </cfRule>
  </conditionalFormatting>
  <conditionalFormatting sqref="C857">
    <cfRule type="cellIs" dxfId="155" priority="45" operator="equal">
      <formula>"x"</formula>
    </cfRule>
  </conditionalFormatting>
  <conditionalFormatting sqref="E857:F857">
    <cfRule type="cellIs" dxfId="154" priority="44" operator="equal">
      <formula>"x"</formula>
    </cfRule>
  </conditionalFormatting>
  <conditionalFormatting sqref="F896">
    <cfRule type="cellIs" dxfId="153" priority="43" operator="equal">
      <formula>"x"</formula>
    </cfRule>
  </conditionalFormatting>
  <conditionalFormatting sqref="C896:E896">
    <cfRule type="cellIs" dxfId="152" priority="42" operator="equal">
      <formula>"x"</formula>
    </cfRule>
  </conditionalFormatting>
  <conditionalFormatting sqref="D975">
    <cfRule type="cellIs" dxfId="151" priority="41" operator="equal">
      <formula>"x"</formula>
    </cfRule>
  </conditionalFormatting>
  <conditionalFormatting sqref="E975:G975">
    <cfRule type="cellIs" dxfId="150" priority="40" operator="equal">
      <formula>"x"</formula>
    </cfRule>
  </conditionalFormatting>
  <conditionalFormatting sqref="F998">
    <cfRule type="cellIs" dxfId="149" priority="39" operator="equal">
      <formula>"x"</formula>
    </cfRule>
  </conditionalFormatting>
  <conditionalFormatting sqref="D998:E998">
    <cfRule type="cellIs" dxfId="148" priority="38" operator="equal">
      <formula>"x"</formula>
    </cfRule>
  </conditionalFormatting>
  <conditionalFormatting sqref="G998">
    <cfRule type="cellIs" dxfId="147" priority="37" operator="equal">
      <formula>"x"</formula>
    </cfRule>
  </conditionalFormatting>
  <conditionalFormatting sqref="D1016">
    <cfRule type="cellIs" dxfId="146" priority="36" operator="equal">
      <formula>"x"</formula>
    </cfRule>
  </conditionalFormatting>
  <conditionalFormatting sqref="E1016:G1016">
    <cfRule type="cellIs" dxfId="145" priority="35" operator="equal">
      <formula>"x"</formula>
    </cfRule>
  </conditionalFormatting>
  <conditionalFormatting sqref="F1060">
    <cfRule type="cellIs" dxfId="144" priority="34" operator="equal">
      <formula>"x"</formula>
    </cfRule>
  </conditionalFormatting>
  <conditionalFormatting sqref="D1060:E1060">
    <cfRule type="cellIs" dxfId="143" priority="33" operator="equal">
      <formula>"x"</formula>
    </cfRule>
  </conditionalFormatting>
  <conditionalFormatting sqref="G1060">
    <cfRule type="cellIs" dxfId="142" priority="32" operator="equal">
      <formula>"x"</formula>
    </cfRule>
  </conditionalFormatting>
  <conditionalFormatting sqref="E1068">
    <cfRule type="cellIs" dxfId="141" priority="31" operator="equal">
      <formula>"x"</formula>
    </cfRule>
  </conditionalFormatting>
  <conditionalFormatting sqref="D1068">
    <cfRule type="cellIs" dxfId="140" priority="30" operator="equal">
      <formula>"x"</formula>
    </cfRule>
  </conditionalFormatting>
  <conditionalFormatting sqref="F1068">
    <cfRule type="cellIs" dxfId="139" priority="29" operator="equal">
      <formula>"x"</formula>
    </cfRule>
  </conditionalFormatting>
  <conditionalFormatting sqref="G1068">
    <cfRule type="cellIs" dxfId="138" priority="28" operator="equal">
      <formula>"x"</formula>
    </cfRule>
  </conditionalFormatting>
  <conditionalFormatting sqref="E1118">
    <cfRule type="cellIs" dxfId="137" priority="27" operator="equal">
      <formula>"x"</formula>
    </cfRule>
  </conditionalFormatting>
  <conditionalFormatting sqref="D1118">
    <cfRule type="cellIs" dxfId="136" priority="26" operator="equal">
      <formula>"x"</formula>
    </cfRule>
  </conditionalFormatting>
  <conditionalFormatting sqref="F1118">
    <cfRule type="cellIs" dxfId="135" priority="25" operator="equal">
      <formula>"x"</formula>
    </cfRule>
  </conditionalFormatting>
  <conditionalFormatting sqref="G1118">
    <cfRule type="cellIs" dxfId="134" priority="24" operator="equal">
      <formula>"x"</formula>
    </cfRule>
  </conditionalFormatting>
  <conditionalFormatting sqref="E1161">
    <cfRule type="cellIs" dxfId="133" priority="23" operator="equal">
      <formula>"x"</formula>
    </cfRule>
  </conditionalFormatting>
  <conditionalFormatting sqref="D1161">
    <cfRule type="cellIs" dxfId="132" priority="22" operator="equal">
      <formula>"x"</formula>
    </cfRule>
  </conditionalFormatting>
  <conditionalFormatting sqref="F1161">
    <cfRule type="cellIs" dxfId="131" priority="21" operator="equal">
      <formula>"x"</formula>
    </cfRule>
  </conditionalFormatting>
  <conditionalFormatting sqref="G1161">
    <cfRule type="cellIs" dxfId="130" priority="20" operator="equal">
      <formula>"x"</formula>
    </cfRule>
  </conditionalFormatting>
  <conditionalFormatting sqref="F1169">
    <cfRule type="cellIs" dxfId="129" priority="19" operator="equal">
      <formula>"x"</formula>
    </cfRule>
  </conditionalFormatting>
  <conditionalFormatting sqref="D1169:E1169">
    <cfRule type="cellIs" dxfId="128" priority="18" operator="equal">
      <formula>"x"</formula>
    </cfRule>
  </conditionalFormatting>
  <conditionalFormatting sqref="G1169">
    <cfRule type="cellIs" dxfId="127" priority="17" operator="equal">
      <formula>"x"</formula>
    </cfRule>
  </conditionalFormatting>
  <conditionalFormatting sqref="F1188">
    <cfRule type="cellIs" dxfId="126" priority="16" operator="equal">
      <formula>"x"</formula>
    </cfRule>
  </conditionalFormatting>
  <conditionalFormatting sqref="D1188:E1188">
    <cfRule type="cellIs" dxfId="125" priority="15" operator="equal">
      <formula>"x"</formula>
    </cfRule>
  </conditionalFormatting>
  <conditionalFormatting sqref="G1188">
    <cfRule type="cellIs" dxfId="124" priority="14" operator="equal">
      <formula>"x"</formula>
    </cfRule>
  </conditionalFormatting>
  <conditionalFormatting sqref="D1198">
    <cfRule type="cellIs" dxfId="123" priority="13" operator="equal">
      <formula>"x"</formula>
    </cfRule>
  </conditionalFormatting>
  <conditionalFormatting sqref="E1198:G1198">
    <cfRule type="cellIs" dxfId="122" priority="12" operator="equal">
      <formula>"x"</formula>
    </cfRule>
  </conditionalFormatting>
  <conditionalFormatting sqref="E1284">
    <cfRule type="cellIs" dxfId="121" priority="11" operator="equal">
      <formula>"x"</formula>
    </cfRule>
  </conditionalFormatting>
  <conditionalFormatting sqref="D1284">
    <cfRule type="cellIs" dxfId="120" priority="10" operator="equal">
      <formula>"x"</formula>
    </cfRule>
  </conditionalFormatting>
  <conditionalFormatting sqref="F1284:G1284">
    <cfRule type="cellIs" dxfId="119" priority="9" operator="equal">
      <formula>"x"</formula>
    </cfRule>
  </conditionalFormatting>
  <conditionalFormatting sqref="E1314">
    <cfRule type="cellIs" dxfId="118" priority="8" operator="equal">
      <formula>"x"</formula>
    </cfRule>
  </conditionalFormatting>
  <conditionalFormatting sqref="D1314">
    <cfRule type="cellIs" dxfId="117" priority="7" operator="equal">
      <formula>"x"</formula>
    </cfRule>
  </conditionalFormatting>
  <conditionalFormatting sqref="F1314:G1314">
    <cfRule type="cellIs" dxfId="116" priority="6" operator="equal">
      <formula>"x"</formula>
    </cfRule>
  </conditionalFormatting>
  <conditionalFormatting sqref="G1322">
    <cfRule type="cellIs" dxfId="115" priority="5" operator="equal">
      <formula>"x"</formula>
    </cfRule>
  </conditionalFormatting>
  <conditionalFormatting sqref="D1322:F1322">
    <cfRule type="cellIs" dxfId="114" priority="4" operator="equal">
      <formula>"x"</formula>
    </cfRule>
  </conditionalFormatting>
  <conditionalFormatting sqref="F1330">
    <cfRule type="cellIs" dxfId="113" priority="3" operator="equal">
      <formula>"x"</formula>
    </cfRule>
  </conditionalFormatting>
  <conditionalFormatting sqref="D1330:E1330">
    <cfRule type="cellIs" dxfId="112" priority="2" operator="equal">
      <formula>"x"</formula>
    </cfRule>
  </conditionalFormatting>
  <conditionalFormatting sqref="G1330">
    <cfRule type="cellIs" dxfId="111" priority="1" operator="equal">
      <formula>"x"</formula>
    </cfRule>
  </conditionalFormatting>
  <hyperlinks>
    <hyperlink ref="B14" r:id="rId1"/>
    <hyperlink ref="B12" r:id="rId2"/>
    <hyperlink ref="B15" r:id="rId3"/>
    <hyperlink ref="F31" r:id="rId4"/>
    <hyperlink ref="H31" r:id="rId5"/>
    <hyperlink ref="G70" r:id="rId6"/>
    <hyperlink ref="E95" r:id="rId7"/>
    <hyperlink ref="E99" r:id="rId8"/>
    <hyperlink ref="E100" r:id="rId9"/>
    <hyperlink ref="E104" r:id="rId10"/>
    <hyperlink ref="E102" r:id="rId11"/>
    <hyperlink ref="D114" r:id="rId12"/>
    <hyperlink ref="B335" r:id="rId13"/>
    <hyperlink ref="D348:E348" r:id="rId14" display="Tegengaan van ZiekteVerzuim"/>
    <hyperlink ref="D127" r:id="rId15"/>
    <hyperlink ref="D113" r:id="rId16"/>
    <hyperlink ref="B235" r:id="rId17"/>
    <hyperlink ref="B332" r:id="rId18"/>
    <hyperlink ref="D344:E344" r:id="rId19" display="W&amp;S van nieuw personeel"/>
    <hyperlink ref="E445" r:id="rId20"/>
    <hyperlink ref="E443" r:id="rId21"/>
    <hyperlink ref="H454:H461" r:id="rId22" display="M"/>
    <hyperlink ref="E481" r:id="rId23"/>
    <hyperlink ref="E582" r:id="rId24"/>
    <hyperlink ref="F596" r:id="rId25"/>
    <hyperlink ref="B602" r:id="rId26"/>
    <hyperlink ref="E618" r:id="rId27"/>
    <hyperlink ref="G663" r:id="rId28"/>
    <hyperlink ref="E764" r:id="rId29"/>
    <hyperlink ref="E852" r:id="rId30" display="Uitleg 'employee benefits'…….."/>
    <hyperlink ref="E900" r:id="rId31" display="Beoordelen is waarnemen ….."/>
    <hyperlink ref="E901" r:id="rId32"/>
    <hyperlink ref="E990" r:id="rId33" location="v=onepage&amp;q=betrouwbaarheid%20van%20per"/>
    <hyperlink ref="B1125" r:id="rId34"/>
    <hyperlink ref="B1139" r:id="rId35"/>
    <hyperlink ref="F1134" r:id="rId36"/>
    <hyperlink ref="B1210" r:id="rId37"/>
    <hyperlink ref="B1271" r:id="rId38"/>
    <hyperlink ref="G49" r:id="rId39"/>
    <hyperlink ref="G48" r:id="rId40"/>
    <hyperlink ref="G50" r:id="rId41"/>
    <hyperlink ref="B842" r:id="rId42"/>
    <hyperlink ref="B841" r:id="rId43"/>
    <hyperlink ref="D931:E932" r:id="rId44" display="Beoordelings-"/>
  </hyperlinks>
  <pageMargins left="0.75" right="0.75" top="1" bottom="1" header="0.5" footer="0.5"/>
  <pageSetup paperSize="9" orientation="portrait" horizontalDpi="1200" verticalDpi="0" r:id="rId45"/>
  <headerFooter alignWithMargins="0"/>
  <ignoredErrors>
    <ignoredError sqref="J41 J43 J101 J103 J643 J181 J14 J286 J288 J290 J292 J294 J333:J334 J1247 J1259" formula="1"/>
    <ignoredError sqref="J23 J25 J183 J21" evalError="1" formula="1"/>
    <ignoredError sqref="J185 J19" evalError="1"/>
    <ignoredError sqref="K1354" unlockedFormula="1"/>
  </ignoredErrors>
  <drawing r:id="rId46"/>
  <legacyDrawing r:id="rId47"/>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98"/>
  <sheetViews>
    <sheetView zoomScale="130" zoomScaleNormal="130" zoomScalePageLayoutView="150" workbookViewId="0">
      <selection activeCell="C24" sqref="C24"/>
    </sheetView>
  </sheetViews>
  <sheetFormatPr defaultColWidth="8.85546875" defaultRowHeight="12.75" x14ac:dyDescent="0.2"/>
  <cols>
    <col min="1" max="1" width="3.85546875" customWidth="1"/>
    <col min="2" max="2" width="59.85546875" customWidth="1"/>
    <col min="3" max="5" width="16.7109375" customWidth="1"/>
    <col min="6" max="6" width="17.28515625" customWidth="1"/>
    <col min="7" max="8" width="16.7109375" customWidth="1"/>
    <col min="9" max="9" width="2" customWidth="1"/>
    <col min="10" max="10" width="10.7109375" hidden="1" customWidth="1"/>
    <col min="11" max="13" width="9.140625" hidden="1" customWidth="1"/>
    <col min="14" max="16" width="8.85546875" hidden="1" customWidth="1"/>
    <col min="17" max="17" width="6.42578125" customWidth="1"/>
  </cols>
  <sheetData>
    <row r="1" spans="1:17" x14ac:dyDescent="0.2">
      <c r="A1" s="1"/>
      <c r="B1" s="105" t="s">
        <v>404</v>
      </c>
      <c r="C1" s="112" t="s">
        <v>785</v>
      </c>
      <c r="D1" s="1"/>
      <c r="E1" s="1"/>
      <c r="F1" s="1"/>
      <c r="G1" s="1"/>
      <c r="H1" s="1"/>
      <c r="I1" s="1"/>
      <c r="J1" s="1"/>
      <c r="K1" s="1"/>
      <c r="L1" s="1"/>
      <c r="M1" s="1"/>
      <c r="N1" s="426"/>
      <c r="O1" s="426"/>
      <c r="P1" s="426"/>
      <c r="Q1" s="426"/>
    </row>
    <row r="2" spans="1:17" x14ac:dyDescent="0.2">
      <c r="A2" s="14"/>
      <c r="B2" s="14"/>
      <c r="C2" s="14"/>
      <c r="D2" s="14"/>
      <c r="E2" s="14"/>
      <c r="F2" s="14"/>
      <c r="G2" s="14"/>
      <c r="H2" s="14"/>
      <c r="I2" s="14"/>
      <c r="J2" s="1"/>
      <c r="K2" s="1"/>
      <c r="L2" s="1"/>
      <c r="M2" s="1"/>
      <c r="N2" s="426"/>
      <c r="O2" s="426"/>
      <c r="P2" s="426"/>
      <c r="Q2" s="426"/>
    </row>
    <row r="3" spans="1:17" x14ac:dyDescent="0.2">
      <c r="A3" s="1"/>
      <c r="B3" s="1"/>
      <c r="C3" s="1"/>
      <c r="D3" s="1"/>
      <c r="E3" s="1"/>
      <c r="F3" s="1"/>
      <c r="G3" s="1"/>
      <c r="H3" s="1"/>
      <c r="I3" s="1"/>
      <c r="J3" s="1"/>
      <c r="K3" s="1"/>
      <c r="L3" s="1"/>
      <c r="M3" s="1"/>
      <c r="N3" s="426"/>
      <c r="O3" s="426"/>
      <c r="P3" s="426"/>
      <c r="Q3" s="426"/>
    </row>
    <row r="4" spans="1:17" ht="40.5" customHeight="1" thickBot="1" x14ac:dyDescent="0.25">
      <c r="A4" s="25" t="s">
        <v>998</v>
      </c>
      <c r="B4" s="103" t="s">
        <v>2729</v>
      </c>
      <c r="C4" s="102" t="s">
        <v>446</v>
      </c>
      <c r="D4" s="102" t="s">
        <v>1623</v>
      </c>
      <c r="E4" s="526" t="s">
        <v>2119</v>
      </c>
      <c r="F4" s="527" t="s">
        <v>2120</v>
      </c>
      <c r="G4" s="1"/>
      <c r="H4" s="1"/>
      <c r="I4" s="1"/>
      <c r="J4" s="1"/>
      <c r="K4" s="1"/>
      <c r="L4" s="3"/>
      <c r="M4" s="1"/>
      <c r="N4" s="426"/>
      <c r="O4" s="426"/>
      <c r="P4" s="426"/>
      <c r="Q4" s="426"/>
    </row>
    <row r="5" spans="1:17" ht="13.5" thickTop="1" x14ac:dyDescent="0.2">
      <c r="A5" s="1"/>
      <c r="B5" s="428" t="s">
        <v>2771</v>
      </c>
      <c r="C5" s="425" t="s">
        <v>995</v>
      </c>
      <c r="D5" s="425" t="s">
        <v>995</v>
      </c>
      <c r="E5" s="425" t="s">
        <v>995</v>
      </c>
      <c r="F5" s="425" t="s">
        <v>995</v>
      </c>
      <c r="G5" s="1"/>
      <c r="H5" s="1"/>
      <c r="I5" s="1"/>
      <c r="J5" s="1"/>
      <c r="K5" s="1"/>
      <c r="L5" s="3"/>
      <c r="M5" s="1"/>
      <c r="N5" s="426"/>
      <c r="O5" s="426"/>
      <c r="P5" s="426"/>
      <c r="Q5" s="426"/>
    </row>
    <row r="6" spans="1:17" x14ac:dyDescent="0.2">
      <c r="A6" s="1"/>
      <c r="B6" s="426"/>
      <c r="C6" s="3" t="s">
        <v>475</v>
      </c>
      <c r="D6" s="3" t="s">
        <v>476</v>
      </c>
      <c r="E6" s="3" t="s">
        <v>477</v>
      </c>
      <c r="F6" s="3" t="s">
        <v>478</v>
      </c>
      <c r="G6" s="1"/>
      <c r="H6" s="1"/>
      <c r="I6" s="1"/>
      <c r="J6" s="5" t="str">
        <f>IF(C5="x","JUIST","")</f>
        <v/>
      </c>
      <c r="K6" s="5">
        <f>ABS(IF(J6="JUIST","1","0"))</f>
        <v>0</v>
      </c>
      <c r="L6" s="3">
        <v>1</v>
      </c>
      <c r="M6" s="1"/>
      <c r="N6" s="426"/>
      <c r="O6" s="426"/>
      <c r="P6" s="426"/>
      <c r="Q6" s="426"/>
    </row>
    <row r="7" spans="1:17" x14ac:dyDescent="0.2">
      <c r="A7" s="1"/>
      <c r="B7" s="61" t="s">
        <v>2632</v>
      </c>
      <c r="C7" s="1"/>
      <c r="D7" s="1"/>
      <c r="E7" s="1"/>
      <c r="F7" s="1"/>
      <c r="G7" s="1"/>
      <c r="H7" s="1"/>
      <c r="I7" s="1"/>
      <c r="J7" s="5" t="str">
        <f>IF(D5="x","FOUT","")</f>
        <v/>
      </c>
      <c r="K7" s="5">
        <f>ABS(IF(J7="JUIST","1","0"))</f>
        <v>0</v>
      </c>
      <c r="L7" s="3"/>
      <c r="M7" s="1"/>
      <c r="N7" s="426"/>
      <c r="O7" s="426"/>
      <c r="P7" s="426"/>
      <c r="Q7" s="426"/>
    </row>
    <row r="8" spans="1:17" x14ac:dyDescent="0.2">
      <c r="A8" s="1"/>
      <c r="B8" s="67" t="s">
        <v>405</v>
      </c>
      <c r="C8" s="1"/>
      <c r="D8" s="1"/>
      <c r="E8" s="1"/>
      <c r="F8" s="1"/>
      <c r="G8" s="1"/>
      <c r="H8" s="1"/>
      <c r="I8" s="1"/>
      <c r="J8" s="5" t="str">
        <f>IF(E5="x","FOUT","")</f>
        <v/>
      </c>
      <c r="K8" s="5">
        <f>ABS(IF(J8="JUIST","1","0"))</f>
        <v>0</v>
      </c>
      <c r="L8" s="3"/>
      <c r="M8" s="1"/>
      <c r="N8" s="426"/>
      <c r="O8" s="426"/>
      <c r="P8" s="426"/>
      <c r="Q8" s="426"/>
    </row>
    <row r="9" spans="1:17" x14ac:dyDescent="0.2">
      <c r="A9" s="1"/>
      <c r="B9" s="200" t="s">
        <v>406</v>
      </c>
      <c r="C9" s="1"/>
      <c r="D9" s="1"/>
      <c r="E9" s="79"/>
      <c r="F9" s="1"/>
      <c r="G9" s="1"/>
      <c r="H9" s="1"/>
      <c r="I9" s="1"/>
      <c r="J9" s="5" t="str">
        <f>IF(F5="x","FOUT","")</f>
        <v/>
      </c>
      <c r="K9" s="5">
        <f>ABS(IF(J9="JUIST","1","0"))</f>
        <v>0</v>
      </c>
      <c r="L9" s="3"/>
      <c r="M9" s="1"/>
      <c r="N9" s="426"/>
      <c r="O9" s="426"/>
      <c r="P9" s="426"/>
      <c r="Q9" s="426"/>
    </row>
    <row r="10" spans="1:17" x14ac:dyDescent="0.2">
      <c r="A10" s="1"/>
      <c r="B10" s="67" t="s">
        <v>2772</v>
      </c>
      <c r="C10" s="1"/>
      <c r="D10" s="1"/>
      <c r="E10" s="79"/>
      <c r="F10" s="1"/>
      <c r="G10" s="1"/>
      <c r="H10" s="1"/>
      <c r="I10" s="1"/>
      <c r="J10" s="79" t="s">
        <v>995</v>
      </c>
      <c r="K10" s="1"/>
      <c r="L10" s="3"/>
      <c r="M10" s="1"/>
      <c r="N10" s="426"/>
      <c r="O10" s="426"/>
      <c r="P10" s="426"/>
      <c r="Q10" s="426"/>
    </row>
    <row r="11" spans="1:17" x14ac:dyDescent="0.2">
      <c r="A11" s="1"/>
      <c r="B11" s="1"/>
      <c r="C11" s="1"/>
      <c r="D11" s="1"/>
      <c r="E11" s="79"/>
      <c r="F11" s="1"/>
      <c r="G11" s="1"/>
      <c r="H11" s="1"/>
      <c r="I11" s="1"/>
      <c r="K11" s="1"/>
      <c r="L11" s="3"/>
      <c r="M11" s="1"/>
      <c r="N11" s="426"/>
      <c r="O11" s="426"/>
      <c r="P11" s="426"/>
      <c r="Q11" s="426"/>
    </row>
    <row r="12" spans="1:17" x14ac:dyDescent="0.2">
      <c r="A12" s="1"/>
      <c r="B12" s="82" t="s">
        <v>1033</v>
      </c>
      <c r="C12" s="318" t="s">
        <v>995</v>
      </c>
      <c r="D12" s="1"/>
      <c r="E12" s="286"/>
      <c r="F12" s="1"/>
      <c r="G12" s="1"/>
      <c r="H12" s="1"/>
      <c r="I12" s="1"/>
      <c r="J12" s="1"/>
      <c r="K12" s="1"/>
      <c r="L12" s="3"/>
      <c r="M12" s="1"/>
      <c r="N12" s="426"/>
      <c r="O12" s="426"/>
      <c r="P12" s="426"/>
      <c r="Q12" s="426"/>
    </row>
    <row r="13" spans="1:17" x14ac:dyDescent="0.2">
      <c r="A13" s="1"/>
      <c r="B13" s="264" t="str">
        <f>J13</f>
        <v/>
      </c>
      <c r="C13" s="1"/>
      <c r="D13" s="1"/>
      <c r="E13" s="1"/>
      <c r="F13" s="1"/>
      <c r="G13" s="1"/>
      <c r="H13" s="1"/>
      <c r="I13" s="1"/>
      <c r="J13" s="73" t="str">
        <f>IF(C12="x","Het juiste antwoord is:   A.","")</f>
        <v/>
      </c>
      <c r="K13" s="1"/>
      <c r="L13" s="3"/>
      <c r="M13" s="1"/>
      <c r="N13" s="426"/>
      <c r="O13" s="426"/>
      <c r="P13" s="426"/>
      <c r="Q13" s="426"/>
    </row>
    <row r="14" spans="1:17" x14ac:dyDescent="0.2">
      <c r="A14" s="14"/>
      <c r="B14" s="14"/>
      <c r="C14" s="14"/>
      <c r="D14" s="14"/>
      <c r="E14" s="14"/>
      <c r="F14" s="14"/>
      <c r="G14" s="14"/>
      <c r="H14" s="14"/>
      <c r="I14" s="14"/>
      <c r="J14" s="1"/>
      <c r="K14" s="1"/>
      <c r="L14" s="1"/>
      <c r="M14" s="1"/>
      <c r="N14" s="426"/>
      <c r="O14" s="426"/>
      <c r="P14" s="426"/>
      <c r="Q14" s="426"/>
    </row>
    <row r="15" spans="1:17" x14ac:dyDescent="0.2">
      <c r="A15" s="1"/>
      <c r="B15" s="1"/>
      <c r="C15" s="1"/>
      <c r="D15" s="1"/>
      <c r="E15" s="1"/>
      <c r="F15" s="1"/>
      <c r="G15" s="1"/>
      <c r="H15" s="1"/>
      <c r="I15" s="1"/>
      <c r="J15" s="5" t="e">
        <f>SEARCH("productiegericht",C18)</f>
        <v>#VALUE!</v>
      </c>
      <c r="K15" s="1"/>
      <c r="L15" s="3"/>
      <c r="M15" s="1" t="s">
        <v>407</v>
      </c>
      <c r="N15" s="426"/>
      <c r="O15" s="426"/>
      <c r="P15" s="426"/>
      <c r="Q15" s="426"/>
    </row>
    <row r="16" spans="1:17" x14ac:dyDescent="0.2">
      <c r="A16" s="1" t="s">
        <v>1006</v>
      </c>
      <c r="B16" s="1" t="s">
        <v>2477</v>
      </c>
      <c r="C16" s="1"/>
      <c r="D16" s="1"/>
      <c r="E16" s="1"/>
      <c r="F16" s="1"/>
      <c r="G16" s="1"/>
      <c r="H16" s="1"/>
      <c r="I16" s="1"/>
      <c r="J16" s="5">
        <f>ABS(ISERR(J15))</f>
        <v>1</v>
      </c>
      <c r="K16" s="5">
        <f>ABS(IF(J16=0,"1","0"))</f>
        <v>0</v>
      </c>
      <c r="L16" s="3">
        <v>1</v>
      </c>
      <c r="N16" s="426"/>
      <c r="O16" s="426"/>
      <c r="P16" s="426"/>
      <c r="Q16" s="426"/>
    </row>
    <row r="17" spans="1:17" x14ac:dyDescent="0.2">
      <c r="A17" s="1"/>
      <c r="B17" s="1"/>
      <c r="C17" s="1"/>
      <c r="D17" s="1"/>
      <c r="E17" s="1"/>
      <c r="F17" s="1"/>
      <c r="G17" s="1"/>
      <c r="H17" s="1"/>
      <c r="I17" s="1"/>
      <c r="J17" s="5" t="e">
        <f>SEARCH("instrumenteel",C19)</f>
        <v>#VALUE!</v>
      </c>
      <c r="K17" s="1"/>
      <c r="L17" s="3"/>
      <c r="M17" s="1" t="s">
        <v>408</v>
      </c>
      <c r="N17" s="426"/>
      <c r="O17" s="426"/>
      <c r="P17" s="426"/>
      <c r="Q17" s="426"/>
    </row>
    <row r="18" spans="1:17" x14ac:dyDescent="0.2">
      <c r="A18" s="54" t="s">
        <v>999</v>
      </c>
      <c r="B18" s="483" t="s">
        <v>411</v>
      </c>
      <c r="C18" s="427" t="s">
        <v>995</v>
      </c>
      <c r="D18" s="1" t="str">
        <f>IF(C70="x",M15,"")</f>
        <v/>
      </c>
      <c r="E18" s="1"/>
      <c r="F18" s="1"/>
      <c r="G18" s="1"/>
      <c r="H18" s="1"/>
      <c r="I18" s="1"/>
      <c r="J18" s="5">
        <f>ABS(ISERR(J17))</f>
        <v>1</v>
      </c>
      <c r="K18" s="5">
        <f>ABS(IF(J18=0,"1","0"))</f>
        <v>0</v>
      </c>
      <c r="L18" s="3">
        <v>1</v>
      </c>
      <c r="M18" s="1"/>
      <c r="N18" s="426"/>
      <c r="O18" s="426"/>
      <c r="P18" s="426"/>
      <c r="Q18" s="426"/>
    </row>
    <row r="19" spans="1:17" x14ac:dyDescent="0.2">
      <c r="A19" s="54" t="s">
        <v>1000</v>
      </c>
      <c r="B19" s="54" t="s">
        <v>412</v>
      </c>
      <c r="C19" s="319" t="s">
        <v>995</v>
      </c>
      <c r="D19" s="1" t="str">
        <f>IF(C70="x",M17,"")</f>
        <v/>
      </c>
      <c r="E19" s="1"/>
      <c r="F19" s="1"/>
      <c r="G19" s="1"/>
      <c r="H19" s="1"/>
      <c r="I19" s="1"/>
      <c r="J19" s="5" t="e">
        <f>SEARCH("taakgericht",C20)</f>
        <v>#VALUE!</v>
      </c>
      <c r="K19" s="1"/>
      <c r="L19" s="3"/>
      <c r="M19" s="1" t="s">
        <v>409</v>
      </c>
      <c r="N19" s="426"/>
      <c r="O19" s="426"/>
      <c r="P19" s="426"/>
      <c r="Q19" s="426"/>
    </row>
    <row r="20" spans="1:17" x14ac:dyDescent="0.2">
      <c r="A20" s="54" t="s">
        <v>1001</v>
      </c>
      <c r="B20" s="54" t="s">
        <v>2478</v>
      </c>
      <c r="C20" s="319" t="s">
        <v>995</v>
      </c>
      <c r="D20" s="1" t="str">
        <f>IF(C70="x",M25,"")</f>
        <v/>
      </c>
      <c r="E20" s="1"/>
      <c r="F20" s="1"/>
      <c r="G20" s="1"/>
      <c r="H20" s="1"/>
      <c r="I20" s="1"/>
      <c r="J20" s="5">
        <f>ABS(ISERR(J19))</f>
        <v>1</v>
      </c>
      <c r="K20" s="5">
        <f>ABS(IF(J20=0,"1","0"))</f>
        <v>0</v>
      </c>
      <c r="L20" s="3">
        <v>1</v>
      </c>
      <c r="M20" s="1"/>
      <c r="N20" s="426"/>
      <c r="O20" s="426"/>
      <c r="P20" s="426"/>
      <c r="Q20" s="426"/>
    </row>
    <row r="21" spans="1:17" x14ac:dyDescent="0.2">
      <c r="A21" s="54" t="s">
        <v>1002</v>
      </c>
      <c r="B21" s="483" t="s">
        <v>2479</v>
      </c>
      <c r="C21" s="1"/>
      <c r="D21" s="1"/>
      <c r="E21" s="1"/>
      <c r="F21" s="1"/>
      <c r="G21" s="1"/>
      <c r="H21" s="1"/>
      <c r="I21" s="1"/>
      <c r="J21" s="5" t="e">
        <f>SEARCH("werknemergericht",C19)</f>
        <v>#VALUE!</v>
      </c>
      <c r="K21" s="1"/>
      <c r="L21" s="3"/>
      <c r="M21" s="1" t="s">
        <v>410</v>
      </c>
      <c r="N21" s="426"/>
      <c r="O21" s="426"/>
      <c r="P21" s="426"/>
      <c r="Q21" s="426"/>
    </row>
    <row r="22" spans="1:17" x14ac:dyDescent="0.2">
      <c r="A22" s="55"/>
      <c r="B22" s="64" t="s">
        <v>1101</v>
      </c>
      <c r="C22" s="1"/>
      <c r="D22" s="1"/>
      <c r="E22" s="1"/>
      <c r="F22" s="1"/>
      <c r="G22" s="1"/>
      <c r="H22" s="1"/>
      <c r="I22" s="1"/>
      <c r="J22" s="12">
        <f>ABS(ISERR(J21))</f>
        <v>1</v>
      </c>
      <c r="K22" s="12">
        <f>ABS(IF(J22=0,"1","0"))</f>
        <v>0</v>
      </c>
      <c r="L22" s="3">
        <v>1</v>
      </c>
      <c r="N22" s="426"/>
      <c r="O22" s="426"/>
      <c r="P22" s="426"/>
      <c r="Q22" s="426"/>
    </row>
    <row r="23" spans="1:17" x14ac:dyDescent="0.2">
      <c r="A23" s="55"/>
      <c r="B23" s="64" t="s">
        <v>1102</v>
      </c>
      <c r="C23" s="1"/>
      <c r="D23" s="1"/>
      <c r="E23" s="1"/>
      <c r="F23" s="1"/>
      <c r="G23" s="1"/>
      <c r="H23" s="1"/>
      <c r="I23" s="1"/>
      <c r="J23" s="48"/>
      <c r="K23" s="94"/>
      <c r="L23" s="3"/>
      <c r="M23" s="1" t="s">
        <v>995</v>
      </c>
      <c r="N23" s="426"/>
      <c r="O23" s="426"/>
      <c r="P23" s="426"/>
      <c r="Q23" s="426"/>
    </row>
    <row r="24" spans="1:17" x14ac:dyDescent="0.2">
      <c r="A24" s="55"/>
      <c r="B24" s="64" t="s">
        <v>2480</v>
      </c>
      <c r="C24" s="1" t="str">
        <f>IF(C70="x",M27,"")</f>
        <v/>
      </c>
      <c r="D24" s="1"/>
      <c r="E24" s="1"/>
      <c r="F24" s="1"/>
      <c r="G24" s="1"/>
      <c r="H24" s="1"/>
      <c r="I24" s="1"/>
      <c r="J24" s="79"/>
      <c r="K24" s="79"/>
      <c r="L24" s="3" t="s">
        <v>995</v>
      </c>
      <c r="M24" s="1"/>
      <c r="N24" s="426"/>
      <c r="O24" s="426"/>
      <c r="P24" s="426"/>
      <c r="Q24" s="426"/>
    </row>
    <row r="25" spans="1:17" x14ac:dyDescent="0.2">
      <c r="A25" s="55"/>
      <c r="B25" s="55" t="s">
        <v>2481</v>
      </c>
      <c r="C25" s="356" t="s">
        <v>995</v>
      </c>
      <c r="D25" s="319"/>
      <c r="E25" s="1"/>
      <c r="F25" s="1"/>
      <c r="G25" s="1"/>
      <c r="H25" s="1"/>
      <c r="I25" s="1"/>
      <c r="J25" s="5" t="e">
        <f>SEARCH("managerial",C20)</f>
        <v>#VALUE!</v>
      </c>
      <c r="K25" s="1"/>
      <c r="L25" s="3"/>
      <c r="M25" s="1" t="s">
        <v>413</v>
      </c>
      <c r="N25" s="426"/>
      <c r="O25" s="426"/>
      <c r="P25" s="426"/>
      <c r="Q25" s="426"/>
    </row>
    <row r="26" spans="1:17" x14ac:dyDescent="0.2">
      <c r="A26" s="54" t="s">
        <v>1106</v>
      </c>
      <c r="B26" s="483" t="s">
        <v>1104</v>
      </c>
      <c r="C26" s="1"/>
      <c r="D26" s="1"/>
      <c r="E26" s="1"/>
      <c r="F26" s="1"/>
      <c r="G26" s="1"/>
      <c r="H26" s="1"/>
      <c r="I26" s="1"/>
      <c r="J26" s="5">
        <f>ABS(ISERR(J25))</f>
        <v>1</v>
      </c>
      <c r="K26" s="5">
        <f>ABS(IF(J26=0,"1","0"))</f>
        <v>0</v>
      </c>
      <c r="L26" s="3">
        <v>1</v>
      </c>
      <c r="M26" s="1"/>
      <c r="N26" s="426"/>
      <c r="O26" s="426"/>
      <c r="P26" s="426"/>
      <c r="Q26" s="426"/>
    </row>
    <row r="27" spans="1:17" x14ac:dyDescent="0.2">
      <c r="A27" s="55"/>
      <c r="B27" s="64" t="s">
        <v>2482</v>
      </c>
      <c r="C27" s="1"/>
      <c r="D27" s="1"/>
      <c r="E27" s="1"/>
      <c r="F27" s="1"/>
      <c r="G27" s="1"/>
      <c r="H27" s="1"/>
      <c r="I27" s="1"/>
      <c r="J27" s="5" t="e">
        <f>SEARCH("bewust zijn",C25)</f>
        <v>#VALUE!</v>
      </c>
      <c r="K27" s="1"/>
      <c r="L27" s="3"/>
      <c r="M27" s="1" t="s">
        <v>1103</v>
      </c>
      <c r="N27" s="426"/>
      <c r="O27" s="426"/>
      <c r="P27" s="426"/>
      <c r="Q27" s="426"/>
    </row>
    <row r="28" spans="1:17" x14ac:dyDescent="0.2">
      <c r="A28" s="55"/>
      <c r="B28" s="64" t="s">
        <v>1105</v>
      </c>
      <c r="C28" s="319" t="s">
        <v>995</v>
      </c>
      <c r="D28" s="1" t="str">
        <f>IF(C70="x",M32,"")</f>
        <v/>
      </c>
      <c r="E28" s="1"/>
      <c r="F28" s="1"/>
      <c r="G28" s="1"/>
      <c r="H28" s="1"/>
      <c r="I28" s="1"/>
      <c r="J28" s="5">
        <f>ABS(ISERR(J27))</f>
        <v>1</v>
      </c>
      <c r="K28" s="5">
        <f>ABS(IF(J28=0,"0,5","0"))</f>
        <v>0</v>
      </c>
      <c r="L28" s="3">
        <v>0.5</v>
      </c>
      <c r="M28" s="1"/>
      <c r="N28" s="426"/>
      <c r="O28" s="426"/>
      <c r="P28" s="426"/>
      <c r="Q28" s="426"/>
    </row>
    <row r="29" spans="1:17" x14ac:dyDescent="0.2">
      <c r="A29" s="54" t="s">
        <v>1080</v>
      </c>
      <c r="B29" s="483" t="s">
        <v>1108</v>
      </c>
      <c r="D29" s="1"/>
      <c r="E29" s="1"/>
      <c r="F29" s="1"/>
      <c r="G29" s="1"/>
      <c r="H29" s="1"/>
      <c r="I29" s="1"/>
      <c r="J29" s="5" t="e">
        <f>SEARCH("eigen stijl",C25)</f>
        <v>#VALUE!</v>
      </c>
      <c r="K29" s="1"/>
      <c r="L29" s="3"/>
      <c r="M29" s="1"/>
      <c r="N29" s="426"/>
      <c r="O29" s="426"/>
      <c r="P29" s="426"/>
      <c r="Q29" s="426"/>
    </row>
    <row r="30" spans="1:17" x14ac:dyDescent="0.2">
      <c r="A30" s="55"/>
      <c r="B30" s="64" t="s">
        <v>1109</v>
      </c>
      <c r="C30" s="1"/>
      <c r="D30" s="1"/>
      <c r="E30" s="1"/>
      <c r="F30" s="1"/>
      <c r="G30" s="1"/>
      <c r="H30" s="1"/>
      <c r="I30" s="1"/>
      <c r="J30" s="5">
        <f>ABS(ISERR(J29))</f>
        <v>1</v>
      </c>
      <c r="K30" s="5">
        <f>ABS(IF(J30=0,"0,5","0"))</f>
        <v>0</v>
      </c>
      <c r="L30" s="3">
        <v>0.5</v>
      </c>
      <c r="M30" s="1"/>
      <c r="N30" s="426"/>
      <c r="O30" s="426"/>
      <c r="P30" s="426"/>
      <c r="Q30" s="426"/>
    </row>
    <row r="31" spans="1:17" x14ac:dyDescent="0.2">
      <c r="A31" s="55"/>
      <c r="B31" s="64" t="s">
        <v>1110</v>
      </c>
      <c r="C31" s="1"/>
      <c r="D31" s="1"/>
      <c r="E31" s="1"/>
      <c r="F31" s="1"/>
      <c r="G31" s="1"/>
      <c r="H31" s="1"/>
      <c r="I31" s="1"/>
      <c r="J31" s="5" t="e">
        <f>SEARCH("X",C28)</f>
        <v>#VALUE!</v>
      </c>
      <c r="K31" s="1"/>
      <c r="L31" s="3"/>
      <c r="M31" s="1"/>
      <c r="N31" s="426"/>
      <c r="O31" s="426"/>
      <c r="P31" s="426"/>
      <c r="Q31" s="426"/>
    </row>
    <row r="32" spans="1:17" x14ac:dyDescent="0.2">
      <c r="A32" s="55"/>
      <c r="B32" s="55" t="s">
        <v>2483</v>
      </c>
      <c r="C32" s="1"/>
      <c r="D32" s="1"/>
      <c r="E32" s="1"/>
      <c r="F32" s="1"/>
      <c r="G32" s="1"/>
      <c r="H32" s="1"/>
      <c r="I32" s="1"/>
      <c r="J32" s="5">
        <f>ABS(ISERR(J31))</f>
        <v>1</v>
      </c>
      <c r="K32" s="5">
        <f>ABS(IF(J32=0,"1","0"))</f>
        <v>0</v>
      </c>
      <c r="L32" s="3">
        <v>1</v>
      </c>
      <c r="M32" s="1" t="s">
        <v>1107</v>
      </c>
      <c r="N32" s="426"/>
      <c r="O32" s="426"/>
      <c r="P32" s="426"/>
      <c r="Q32" s="426"/>
    </row>
    <row r="33" spans="1:17" x14ac:dyDescent="0.2">
      <c r="A33" s="55"/>
      <c r="B33" s="55" t="s">
        <v>1111</v>
      </c>
      <c r="C33" s="1"/>
      <c r="D33" s="1"/>
      <c r="E33" s="1"/>
      <c r="F33" s="1"/>
      <c r="G33" s="1"/>
      <c r="H33" s="1"/>
      <c r="I33" s="1"/>
      <c r="J33" s="5" t="e">
        <f>SEARCH("macht",C35)</f>
        <v>#VALUE!</v>
      </c>
      <c r="K33" s="1"/>
      <c r="L33" s="3"/>
      <c r="M33" s="1"/>
      <c r="N33" s="426"/>
      <c r="O33" s="426"/>
      <c r="P33" s="426"/>
      <c r="Q33" s="426"/>
    </row>
    <row r="34" spans="1:17" x14ac:dyDescent="0.2">
      <c r="A34" s="55"/>
      <c r="B34" s="55" t="s">
        <v>1112</v>
      </c>
      <c r="C34" s="1" t="str">
        <f>IF(C70="x",M34,"")</f>
        <v/>
      </c>
      <c r="D34" s="1"/>
      <c r="E34" s="1"/>
      <c r="F34" s="1"/>
      <c r="G34" s="1"/>
      <c r="H34" s="1"/>
      <c r="I34" s="1"/>
      <c r="J34" s="5">
        <f>ABS(ISERR(J33))</f>
        <v>1</v>
      </c>
      <c r="K34" s="5">
        <f>ABS(IF(J34=0,"1","0"))</f>
        <v>0</v>
      </c>
      <c r="L34" s="3">
        <v>1</v>
      </c>
      <c r="M34" s="1" t="s">
        <v>1114</v>
      </c>
      <c r="N34" s="426"/>
      <c r="O34" s="426"/>
      <c r="P34" s="426"/>
      <c r="Q34" s="426"/>
    </row>
    <row r="35" spans="1:17" x14ac:dyDescent="0.2">
      <c r="A35" s="55"/>
      <c r="B35" s="55" t="s">
        <v>1113</v>
      </c>
      <c r="C35" s="319" t="s">
        <v>995</v>
      </c>
      <c r="D35" s="1"/>
      <c r="E35" s="1"/>
      <c r="F35" s="1"/>
      <c r="G35" s="1"/>
      <c r="H35" s="1"/>
      <c r="I35" s="1"/>
      <c r="J35" s="5" t="e">
        <f>SEARCH("persoonsgericht",C38)</f>
        <v>#VALUE!</v>
      </c>
      <c r="K35" s="1"/>
      <c r="L35" s="3"/>
      <c r="M35" s="1"/>
      <c r="N35" s="426"/>
      <c r="O35" s="426"/>
      <c r="P35" s="426"/>
      <c r="Q35" s="426"/>
    </row>
    <row r="36" spans="1:17" x14ac:dyDescent="0.2">
      <c r="A36" s="54" t="s">
        <v>1082</v>
      </c>
      <c r="B36" s="483" t="s">
        <v>2484</v>
      </c>
      <c r="C36" s="1"/>
      <c r="D36" s="1"/>
      <c r="E36" s="1"/>
      <c r="F36" s="1"/>
      <c r="G36" s="1"/>
      <c r="H36" s="1"/>
      <c r="I36" s="1"/>
      <c r="J36" s="5">
        <f>ABS(ISERR(J35))</f>
        <v>1</v>
      </c>
      <c r="K36" s="5">
        <f>ABS(IF(J36=0,"1","0"))</f>
        <v>0</v>
      </c>
      <c r="L36" s="3">
        <v>1</v>
      </c>
      <c r="M36" s="1" t="s">
        <v>1116</v>
      </c>
      <c r="N36" s="426"/>
      <c r="O36" s="426"/>
      <c r="P36" s="426"/>
      <c r="Q36" s="426"/>
    </row>
    <row r="37" spans="1:17" x14ac:dyDescent="0.2">
      <c r="A37" s="55"/>
      <c r="B37" s="64" t="s">
        <v>1115</v>
      </c>
      <c r="C37" s="1" t="str">
        <f>IF(C70="x",M36,"")</f>
        <v/>
      </c>
      <c r="D37" s="1"/>
      <c r="E37" s="1"/>
      <c r="F37" s="1"/>
      <c r="G37" s="1"/>
      <c r="H37" s="1"/>
      <c r="I37" s="1"/>
      <c r="J37" s="5" t="e">
        <f>SEARCH("coachen",C43)</f>
        <v>#VALUE!</v>
      </c>
      <c r="K37" s="1"/>
      <c r="L37" s="3"/>
      <c r="M37" s="1"/>
      <c r="N37" s="426"/>
      <c r="O37" s="426"/>
      <c r="P37" s="426"/>
      <c r="Q37" s="426"/>
    </row>
    <row r="38" spans="1:17" x14ac:dyDescent="0.2">
      <c r="A38" s="55"/>
      <c r="B38" s="64" t="s">
        <v>2485</v>
      </c>
      <c r="C38" s="319" t="s">
        <v>995</v>
      </c>
      <c r="D38" s="1"/>
      <c r="E38" s="1"/>
      <c r="F38" s="1"/>
      <c r="G38" s="1"/>
      <c r="H38" s="1"/>
      <c r="I38" s="1"/>
      <c r="J38" s="5">
        <f>ABS(ISERR(J37))</f>
        <v>1</v>
      </c>
      <c r="K38" s="5">
        <f>ABS(IF(J38=0,"1","0"))</f>
        <v>0</v>
      </c>
      <c r="L38" s="3">
        <v>1</v>
      </c>
      <c r="M38" s="1" t="s">
        <v>1119</v>
      </c>
      <c r="N38" s="426"/>
      <c r="O38" s="426"/>
      <c r="P38" s="426"/>
      <c r="Q38" s="426"/>
    </row>
    <row r="39" spans="1:17" x14ac:dyDescent="0.2">
      <c r="A39" s="54" t="s">
        <v>322</v>
      </c>
      <c r="B39" s="54" t="s">
        <v>1143</v>
      </c>
      <c r="C39" s="1"/>
      <c r="D39" s="1"/>
      <c r="E39" s="1"/>
      <c r="F39" s="1"/>
      <c r="G39" s="1"/>
      <c r="H39" s="1"/>
      <c r="I39" s="1"/>
      <c r="J39" s="5" t="e">
        <f>SEARCH("ontwikkelen",C43)</f>
        <v>#VALUE!</v>
      </c>
      <c r="K39" s="1"/>
      <c r="L39" s="3"/>
      <c r="M39" s="1"/>
      <c r="N39" s="426"/>
      <c r="O39" s="426"/>
      <c r="P39" s="426"/>
      <c r="Q39" s="426"/>
    </row>
    <row r="40" spans="1:17" x14ac:dyDescent="0.2">
      <c r="A40" s="55"/>
      <c r="B40" s="55" t="s">
        <v>1117</v>
      </c>
      <c r="C40" s="1"/>
      <c r="D40" s="1"/>
      <c r="E40" s="1"/>
      <c r="F40" s="1"/>
      <c r="G40" s="1"/>
      <c r="H40" s="1"/>
      <c r="I40" s="1"/>
      <c r="J40" s="5">
        <f>ABS(ISERR(J39))</f>
        <v>1</v>
      </c>
      <c r="K40" s="5">
        <f>ABS(IF(J40=0,"1","0"))</f>
        <v>0</v>
      </c>
      <c r="L40" s="3">
        <v>1</v>
      </c>
      <c r="M40" s="1"/>
      <c r="N40" s="426"/>
      <c r="O40" s="426"/>
      <c r="P40" s="426"/>
      <c r="Q40" s="426"/>
    </row>
    <row r="41" spans="1:17" x14ac:dyDescent="0.2">
      <c r="A41" s="55"/>
      <c r="B41" s="55" t="s">
        <v>1118</v>
      </c>
      <c r="C41" s="1"/>
      <c r="D41" s="1"/>
      <c r="E41" s="1"/>
      <c r="F41" s="1"/>
      <c r="G41" s="1"/>
      <c r="H41" s="1"/>
      <c r="I41" s="1"/>
      <c r="J41" s="5" t="e">
        <f>SEARCH("resultaatgericht",C45)</f>
        <v>#VALUE!</v>
      </c>
      <c r="K41" s="1"/>
      <c r="L41" s="3"/>
      <c r="M41" s="1"/>
      <c r="N41" s="426"/>
      <c r="O41" s="426"/>
      <c r="P41" s="426"/>
      <c r="Q41" s="426"/>
    </row>
    <row r="42" spans="1:17" x14ac:dyDescent="0.2">
      <c r="A42" s="565" t="s">
        <v>2731</v>
      </c>
      <c r="B42" s="564" t="s">
        <v>2487</v>
      </c>
      <c r="C42" s="1" t="str">
        <f>IF(C70="x",M38,"")</f>
        <v/>
      </c>
      <c r="D42" s="1"/>
      <c r="E42" s="1"/>
      <c r="F42" s="1"/>
      <c r="G42" s="1"/>
      <c r="H42" s="1"/>
      <c r="I42" s="1"/>
      <c r="J42" s="5">
        <f>ABS(ISERR(J41))</f>
        <v>1</v>
      </c>
      <c r="K42" s="5">
        <f>ABS(IF(J42=0,"1","0"))</f>
        <v>0</v>
      </c>
      <c r="L42" s="3">
        <v>1</v>
      </c>
      <c r="M42" s="1" t="s">
        <v>1123</v>
      </c>
      <c r="N42" s="426"/>
      <c r="O42" s="426"/>
      <c r="P42" s="426"/>
      <c r="Q42" s="426"/>
    </row>
    <row r="43" spans="1:17" x14ac:dyDescent="0.2">
      <c r="A43" s="55"/>
      <c r="B43" s="55" t="s">
        <v>2486</v>
      </c>
      <c r="C43" s="356" t="s">
        <v>995</v>
      </c>
      <c r="D43" s="319"/>
      <c r="E43" s="1"/>
      <c r="F43" s="1"/>
      <c r="G43" s="1"/>
      <c r="H43" s="1"/>
      <c r="I43" s="1"/>
      <c r="J43" s="5" t="e">
        <f>SEARCH("resultaatgericht",C47)</f>
        <v>#VALUE!</v>
      </c>
      <c r="K43" s="1"/>
      <c r="L43" s="3"/>
      <c r="M43" s="1"/>
      <c r="N43" s="426"/>
      <c r="O43" s="426"/>
      <c r="P43" s="426"/>
      <c r="Q43" s="426"/>
    </row>
    <row r="44" spans="1:17" x14ac:dyDescent="0.2">
      <c r="A44" s="566" t="s">
        <v>2731</v>
      </c>
      <c r="B44" s="564" t="s">
        <v>2489</v>
      </c>
      <c r="C44" s="1"/>
      <c r="D44" s="1"/>
      <c r="E44" s="1"/>
      <c r="F44" s="1"/>
      <c r="G44" s="1"/>
      <c r="H44" s="1"/>
      <c r="I44" s="1"/>
      <c r="J44" s="5">
        <f>ABS(ISERR(J43))</f>
        <v>1</v>
      </c>
      <c r="K44" s="5">
        <f>ABS(IF(J44=0,"1","0"))</f>
        <v>0</v>
      </c>
      <c r="L44" s="3">
        <v>1</v>
      </c>
      <c r="M44" s="1" t="s">
        <v>1124</v>
      </c>
      <c r="N44" s="426"/>
      <c r="O44" s="426"/>
      <c r="P44" s="426"/>
      <c r="Q44" s="426"/>
    </row>
    <row r="45" spans="1:17" x14ac:dyDescent="0.2">
      <c r="B45" s="55" t="s">
        <v>2488</v>
      </c>
      <c r="C45" s="319" t="s">
        <v>995</v>
      </c>
      <c r="D45" s="1" t="str">
        <f>IF(C70="x",M42,"")</f>
        <v/>
      </c>
      <c r="E45" s="1"/>
      <c r="F45" s="1"/>
      <c r="G45" s="1"/>
      <c r="H45" s="1"/>
      <c r="I45" s="1"/>
      <c r="J45" s="5" t="e">
        <f>SEARCH("path-goal",C51)</f>
        <v>#VALUE!</v>
      </c>
      <c r="K45" s="1"/>
      <c r="L45" s="3"/>
      <c r="M45" s="1"/>
      <c r="N45" s="426"/>
      <c r="O45" s="426"/>
      <c r="P45" s="426"/>
      <c r="Q45" s="426"/>
    </row>
    <row r="46" spans="1:17" x14ac:dyDescent="0.2">
      <c r="A46" s="54" t="s">
        <v>323</v>
      </c>
      <c r="B46" s="483" t="s">
        <v>1120</v>
      </c>
      <c r="C46" s="1"/>
      <c r="D46" s="1"/>
      <c r="E46" s="1"/>
      <c r="F46" s="1"/>
      <c r="G46" s="1"/>
      <c r="H46" s="1"/>
      <c r="I46" s="1"/>
      <c r="J46" s="5">
        <f>ABS(ISERR(J45))</f>
        <v>1</v>
      </c>
      <c r="K46" s="5">
        <f>ABS(IF(J46=0,"1","0"))</f>
        <v>0</v>
      </c>
      <c r="L46" s="3">
        <v>1</v>
      </c>
      <c r="M46" s="1" t="s">
        <v>1129</v>
      </c>
      <c r="N46" s="426"/>
      <c r="O46" s="426"/>
      <c r="P46" s="426"/>
      <c r="Q46" s="426"/>
    </row>
    <row r="47" spans="1:17" x14ac:dyDescent="0.2">
      <c r="A47" s="55"/>
      <c r="B47" s="55" t="s">
        <v>1121</v>
      </c>
      <c r="C47" s="1"/>
      <c r="D47" s="1"/>
      <c r="E47" s="1"/>
      <c r="F47" s="1"/>
      <c r="G47" s="1"/>
      <c r="H47" s="1"/>
      <c r="I47" s="1"/>
      <c r="J47" s="5" t="e">
        <f>SEARCH("charism",C53)</f>
        <v>#VALUE!</v>
      </c>
      <c r="K47" s="1"/>
      <c r="L47" s="3"/>
      <c r="M47" s="1"/>
      <c r="N47" s="426"/>
      <c r="O47" s="426"/>
      <c r="P47" s="426"/>
      <c r="Q47" s="426"/>
    </row>
    <row r="48" spans="1:17" x14ac:dyDescent="0.2">
      <c r="B48" s="55" t="s">
        <v>1122</v>
      </c>
      <c r="C48" s="319" t="s">
        <v>995</v>
      </c>
      <c r="D48" s="1" t="str">
        <f>IF(C70="x",M44,"")</f>
        <v/>
      </c>
      <c r="E48" s="1"/>
      <c r="F48" s="1"/>
      <c r="G48" s="1"/>
      <c r="H48" s="1"/>
      <c r="I48" s="1"/>
      <c r="J48" s="5">
        <f>ABS(ISERR(J47))</f>
        <v>1</v>
      </c>
      <c r="K48" s="5">
        <f>ABS(IF(J48=0,"1","0"))</f>
        <v>0</v>
      </c>
      <c r="L48" s="3">
        <v>1</v>
      </c>
      <c r="M48" s="1" t="s">
        <v>1132</v>
      </c>
      <c r="N48" s="426"/>
      <c r="O48" s="426"/>
      <c r="P48" s="426"/>
      <c r="Q48" s="426"/>
    </row>
    <row r="49" spans="1:17" x14ac:dyDescent="0.2">
      <c r="A49" s="54" t="s">
        <v>1125</v>
      </c>
      <c r="B49" s="54" t="s">
        <v>1126</v>
      </c>
      <c r="C49" s="1"/>
      <c r="D49" s="1"/>
      <c r="E49" s="1"/>
      <c r="F49" s="1"/>
      <c r="G49" s="1"/>
      <c r="H49" s="1"/>
      <c r="I49" s="1"/>
      <c r="J49" s="5" t="e">
        <f>SEARCH("transaction",C56)</f>
        <v>#VALUE!</v>
      </c>
      <c r="K49" s="1"/>
      <c r="L49" s="3"/>
      <c r="M49" s="1"/>
      <c r="N49" s="426"/>
      <c r="O49" s="426"/>
      <c r="P49" s="426"/>
      <c r="Q49" s="426"/>
    </row>
    <row r="50" spans="1:17" x14ac:dyDescent="0.2">
      <c r="A50" s="55"/>
      <c r="B50" s="55" t="s">
        <v>1127</v>
      </c>
      <c r="D50" s="1"/>
      <c r="E50" s="1"/>
      <c r="F50" s="1"/>
      <c r="G50" s="1"/>
      <c r="H50" s="1"/>
      <c r="I50" s="1"/>
      <c r="J50" s="5">
        <f>ABS(ISERR(J49))</f>
        <v>1</v>
      </c>
      <c r="K50" s="5">
        <f>ABS(IF(J50=0,"1","0"))</f>
        <v>0</v>
      </c>
      <c r="L50" s="3">
        <v>1</v>
      </c>
      <c r="M50" s="1" t="s">
        <v>1136</v>
      </c>
      <c r="N50" s="426"/>
      <c r="O50" s="426"/>
      <c r="P50" s="426"/>
      <c r="Q50" s="426"/>
    </row>
    <row r="51" spans="1:17" x14ac:dyDescent="0.2">
      <c r="B51" s="55" t="s">
        <v>1128</v>
      </c>
      <c r="C51" s="7" t="s">
        <v>995</v>
      </c>
      <c r="D51" s="1" t="str">
        <f>IF(C70="x",M46,"")</f>
        <v/>
      </c>
      <c r="E51" s="1"/>
      <c r="F51" s="1"/>
      <c r="G51" s="1"/>
      <c r="H51" s="1"/>
      <c r="I51" s="1"/>
      <c r="J51" s="5" t="e">
        <f>SEARCH("nee",C60)</f>
        <v>#VALUE!</v>
      </c>
      <c r="K51" s="1"/>
      <c r="L51" s="3"/>
      <c r="M51" s="1"/>
      <c r="N51" s="426"/>
      <c r="O51" s="426"/>
      <c r="P51" s="426"/>
      <c r="Q51" s="426"/>
    </row>
    <row r="52" spans="1:17" x14ac:dyDescent="0.2">
      <c r="A52" s="54" t="s">
        <v>1130</v>
      </c>
      <c r="B52" s="54" t="s">
        <v>2490</v>
      </c>
      <c r="C52" s="1"/>
      <c r="D52" s="1"/>
      <c r="E52" s="1"/>
      <c r="F52" s="1"/>
      <c r="G52" s="1"/>
      <c r="H52" s="1"/>
      <c r="I52" s="1"/>
      <c r="J52" s="5">
        <f>ABS(ISERR(J51))</f>
        <v>1</v>
      </c>
      <c r="K52" s="5">
        <f>ABS(IF(J52=0,"1","0"))</f>
        <v>0</v>
      </c>
      <c r="L52" s="3">
        <v>1</v>
      </c>
      <c r="M52" s="1" t="s">
        <v>1140</v>
      </c>
      <c r="N52" s="426"/>
      <c r="O52" s="426"/>
      <c r="P52" s="426"/>
      <c r="Q52" s="426"/>
    </row>
    <row r="53" spans="1:17" x14ac:dyDescent="0.2">
      <c r="B53" s="377" t="s">
        <v>1131</v>
      </c>
      <c r="C53" s="319" t="s">
        <v>995</v>
      </c>
      <c r="D53" s="1" t="str">
        <f>IF(C70="x",M48,"")</f>
        <v/>
      </c>
      <c r="E53" s="1"/>
      <c r="F53" s="1"/>
      <c r="G53" s="1"/>
      <c r="H53" s="1"/>
      <c r="I53" s="1"/>
      <c r="J53" s="5" t="e">
        <f>SEARCH("zelfsturing",C62)</f>
        <v>#VALUE!</v>
      </c>
      <c r="K53" s="1"/>
      <c r="L53" s="3"/>
      <c r="M53" s="1"/>
      <c r="N53" s="426"/>
      <c r="O53" s="426"/>
      <c r="P53" s="426"/>
      <c r="Q53" s="426"/>
    </row>
    <row r="54" spans="1:17" x14ac:dyDescent="0.2">
      <c r="A54" s="54" t="s">
        <v>1133</v>
      </c>
      <c r="B54" s="54" t="s">
        <v>1134</v>
      </c>
      <c r="C54" s="1"/>
      <c r="D54" s="1"/>
      <c r="E54" s="1"/>
      <c r="F54" s="1"/>
      <c r="G54" s="1"/>
      <c r="H54" s="1"/>
      <c r="I54" s="1"/>
      <c r="J54" s="5">
        <f>ABS(ISERR(J53))</f>
        <v>1</v>
      </c>
      <c r="K54" s="5">
        <f>ABS(IF(J54=0,"1","0"))</f>
        <v>0</v>
      </c>
      <c r="L54" s="3">
        <v>1</v>
      </c>
      <c r="M54" s="1" t="s">
        <v>1141</v>
      </c>
      <c r="N54" s="426"/>
      <c r="O54" s="426"/>
      <c r="P54" s="426"/>
      <c r="Q54" s="426"/>
    </row>
    <row r="55" spans="1:17" x14ac:dyDescent="0.2">
      <c r="A55" s="55"/>
      <c r="B55" s="55" t="s">
        <v>1135</v>
      </c>
      <c r="C55" s="1"/>
      <c r="D55" s="1"/>
      <c r="E55" s="1"/>
      <c r="F55" s="1"/>
      <c r="G55" s="1"/>
      <c r="H55" s="1"/>
      <c r="I55" s="1"/>
      <c r="J55" s="5" t="e">
        <f>SEARCH("werkvermogen",C64)</f>
        <v>#VALUE!</v>
      </c>
      <c r="K55" s="1"/>
      <c r="L55" s="3"/>
      <c r="M55" s="1"/>
      <c r="N55" s="426"/>
      <c r="O55" s="426"/>
      <c r="P55" s="426"/>
      <c r="Q55" s="426"/>
    </row>
    <row r="56" spans="1:17" x14ac:dyDescent="0.2">
      <c r="B56" s="55" t="s">
        <v>1144</v>
      </c>
      <c r="C56" s="319" t="s">
        <v>995</v>
      </c>
      <c r="D56" s="1" t="str">
        <f>IF(C70="x",M50,"")</f>
        <v/>
      </c>
      <c r="E56" s="1"/>
      <c r="F56" s="1"/>
      <c r="G56" s="1"/>
      <c r="H56" s="1"/>
      <c r="I56" s="1"/>
      <c r="J56" s="5">
        <f>ABS(ISERR(J55))</f>
        <v>1</v>
      </c>
      <c r="K56" s="5">
        <f>ABS(IF(J56=0,"1","0"))</f>
        <v>0</v>
      </c>
      <c r="L56" s="3">
        <v>1</v>
      </c>
      <c r="M56" s="1" t="s">
        <v>1147</v>
      </c>
      <c r="N56" s="426"/>
      <c r="O56" s="426"/>
      <c r="P56" s="426"/>
      <c r="Q56" s="426"/>
    </row>
    <row r="57" spans="1:17" x14ac:dyDescent="0.2">
      <c r="A57" s="54" t="s">
        <v>1137</v>
      </c>
      <c r="B57" s="483" t="s">
        <v>2491</v>
      </c>
      <c r="C57" s="1"/>
      <c r="D57" s="1"/>
      <c r="E57" s="1"/>
      <c r="F57" s="1"/>
      <c r="G57" s="1"/>
      <c r="H57" s="1"/>
      <c r="I57" s="1"/>
      <c r="J57" s="5" t="e">
        <f>SEARCH("gedragscomplexiteit",C66)</f>
        <v>#VALUE!</v>
      </c>
      <c r="K57" s="1"/>
      <c r="L57" s="3"/>
      <c r="M57" s="1"/>
      <c r="N57" s="426"/>
      <c r="O57" s="426"/>
      <c r="P57" s="426"/>
      <c r="Q57" s="426"/>
    </row>
    <row r="58" spans="1:17" x14ac:dyDescent="0.2">
      <c r="A58" s="55"/>
      <c r="B58" s="64" t="s">
        <v>1138</v>
      </c>
      <c r="C58" s="1"/>
      <c r="D58" s="1"/>
      <c r="E58" s="1"/>
      <c r="F58" s="1"/>
      <c r="G58" s="1"/>
      <c r="H58" s="1"/>
      <c r="I58" s="1"/>
      <c r="J58" s="5">
        <f>ABS(ISERR(J57))</f>
        <v>1</v>
      </c>
      <c r="K58" s="5">
        <f>ABS(IF(J58=0,"1","0"))</f>
        <v>0</v>
      </c>
      <c r="L58" s="3">
        <v>1</v>
      </c>
      <c r="M58" s="1" t="s">
        <v>1159</v>
      </c>
      <c r="N58" s="426"/>
      <c r="O58" s="426"/>
      <c r="P58" s="426"/>
      <c r="Q58" s="426"/>
    </row>
    <row r="59" spans="1:17" x14ac:dyDescent="0.2">
      <c r="A59" s="55"/>
      <c r="B59" s="64" t="s">
        <v>2492</v>
      </c>
      <c r="C59" s="1"/>
      <c r="D59" s="1"/>
      <c r="E59" s="1"/>
      <c r="F59" s="1"/>
      <c r="G59" s="1"/>
      <c r="H59" s="1"/>
      <c r="I59" s="1"/>
      <c r="J59" s="1"/>
      <c r="K59" s="1"/>
      <c r="L59" s="1"/>
      <c r="M59" s="1"/>
      <c r="N59" s="426"/>
      <c r="O59" s="426"/>
      <c r="P59" s="426"/>
      <c r="Q59" s="426"/>
    </row>
    <row r="60" spans="1:17" x14ac:dyDescent="0.2">
      <c r="B60" s="64" t="s">
        <v>2493</v>
      </c>
      <c r="C60" s="319" t="s">
        <v>995</v>
      </c>
      <c r="D60" s="1" t="str">
        <f>IF(C70="x",M52,"")</f>
        <v/>
      </c>
      <c r="E60" s="1"/>
      <c r="F60" s="1"/>
      <c r="G60" s="1"/>
      <c r="H60" s="1"/>
      <c r="I60" s="1"/>
      <c r="J60" s="1"/>
      <c r="K60" s="1"/>
      <c r="L60" s="1"/>
      <c r="M60" s="1"/>
      <c r="N60" s="426"/>
      <c r="O60" s="426"/>
      <c r="P60" s="426"/>
      <c r="Q60" s="426"/>
    </row>
    <row r="61" spans="1:17" x14ac:dyDescent="0.2">
      <c r="A61" s="54" t="s">
        <v>1139</v>
      </c>
      <c r="B61" s="54" t="s">
        <v>2494</v>
      </c>
      <c r="D61" s="1"/>
      <c r="E61" s="1"/>
      <c r="F61" s="1"/>
      <c r="G61" s="1"/>
      <c r="H61" s="1"/>
      <c r="I61" s="1"/>
      <c r="J61" s="1"/>
      <c r="K61" s="1"/>
      <c r="L61" s="1"/>
      <c r="M61" s="1"/>
      <c r="N61" s="426"/>
      <c r="O61" s="426"/>
      <c r="P61" s="426"/>
      <c r="Q61" s="426"/>
    </row>
    <row r="62" spans="1:17" x14ac:dyDescent="0.2">
      <c r="A62" s="28"/>
      <c r="B62" s="28" t="s">
        <v>2495</v>
      </c>
      <c r="C62" s="319" t="s">
        <v>995</v>
      </c>
      <c r="D62" s="1" t="str">
        <f>IF(C70="x",M54,"")</f>
        <v/>
      </c>
      <c r="E62" s="1"/>
      <c r="F62" s="1"/>
      <c r="G62" s="1"/>
      <c r="H62" s="1"/>
      <c r="I62" s="1"/>
      <c r="J62" s="1"/>
      <c r="K62" s="1"/>
      <c r="L62" s="1"/>
      <c r="M62" s="1"/>
      <c r="N62" s="426"/>
      <c r="O62" s="426"/>
      <c r="P62" s="426"/>
      <c r="Q62" s="426"/>
    </row>
    <row r="63" spans="1:17" x14ac:dyDescent="0.2">
      <c r="A63" s="55" t="s">
        <v>1142</v>
      </c>
      <c r="B63" s="483" t="s">
        <v>1145</v>
      </c>
      <c r="C63" s="179"/>
      <c r="D63" s="1"/>
      <c r="E63" s="1"/>
      <c r="F63" s="1"/>
      <c r="G63" s="1"/>
      <c r="H63" s="1"/>
      <c r="I63" s="1"/>
      <c r="J63" s="1"/>
      <c r="K63" s="1"/>
      <c r="L63" s="1"/>
      <c r="M63" s="1"/>
      <c r="N63" s="426"/>
      <c r="O63" s="426"/>
      <c r="P63" s="426"/>
      <c r="Q63" s="426"/>
    </row>
    <row r="64" spans="1:17" x14ac:dyDescent="0.2">
      <c r="A64" s="563"/>
      <c r="B64" s="484" t="s">
        <v>2496</v>
      </c>
      <c r="C64" s="319" t="s">
        <v>995</v>
      </c>
      <c r="D64" s="1" t="str">
        <f>IF(C70="x",M56,"")</f>
        <v/>
      </c>
      <c r="E64" s="1"/>
      <c r="F64" s="1"/>
      <c r="G64" s="1"/>
      <c r="H64" s="1"/>
      <c r="I64" s="1"/>
      <c r="J64" s="1"/>
      <c r="K64" s="1"/>
      <c r="L64" s="1"/>
      <c r="M64" s="1"/>
      <c r="N64" s="426"/>
      <c r="O64" s="426"/>
      <c r="P64" s="426"/>
      <c r="Q64" s="426"/>
    </row>
    <row r="65" spans="1:17" x14ac:dyDescent="0.2">
      <c r="A65" s="54" t="s">
        <v>1146</v>
      </c>
      <c r="B65" s="483" t="s">
        <v>2773</v>
      </c>
      <c r="C65" s="179"/>
      <c r="D65" s="1"/>
      <c r="E65" s="1"/>
      <c r="F65" s="1"/>
      <c r="G65" s="1"/>
      <c r="H65" s="1"/>
      <c r="I65" s="1"/>
      <c r="J65" s="1"/>
      <c r="K65" s="1"/>
      <c r="L65" s="1"/>
      <c r="M65" s="1"/>
      <c r="N65" s="426"/>
      <c r="O65" s="426"/>
      <c r="P65" s="426"/>
      <c r="Q65" s="426"/>
    </row>
    <row r="66" spans="1:17" x14ac:dyDescent="0.2">
      <c r="A66" s="28"/>
      <c r="B66" s="484" t="s">
        <v>2497</v>
      </c>
      <c r="C66" s="319" t="s">
        <v>995</v>
      </c>
      <c r="D66" s="1" t="str">
        <f>IF(C70="x",M58,"")</f>
        <v/>
      </c>
      <c r="E66" s="1"/>
      <c r="F66" s="1"/>
      <c r="G66" s="1"/>
      <c r="H66" s="1"/>
      <c r="I66" s="1"/>
      <c r="J66" s="1"/>
      <c r="K66" s="1"/>
      <c r="L66" s="1"/>
      <c r="M66" s="1"/>
      <c r="N66" s="426"/>
      <c r="O66" s="426"/>
      <c r="P66" s="426"/>
      <c r="Q66" s="426"/>
    </row>
    <row r="67" spans="1:17" x14ac:dyDescent="0.2">
      <c r="A67" s="18"/>
      <c r="B67" s="18"/>
      <c r="C67" s="179"/>
      <c r="D67" s="1"/>
      <c r="E67" s="1"/>
      <c r="F67" s="1"/>
      <c r="G67" s="1"/>
      <c r="H67" s="1"/>
      <c r="I67" s="1"/>
      <c r="J67" s="1"/>
      <c r="K67" s="1"/>
      <c r="L67" s="1"/>
      <c r="M67" s="1"/>
      <c r="N67" s="426"/>
      <c r="O67" s="426"/>
      <c r="P67" s="426"/>
      <c r="Q67" s="426"/>
    </row>
    <row r="68" spans="1:17" x14ac:dyDescent="0.2">
      <c r="A68" s="18"/>
      <c r="B68" s="18"/>
      <c r="C68" s="179"/>
      <c r="D68" s="1"/>
      <c r="E68" s="1"/>
      <c r="F68" s="1"/>
      <c r="G68" s="1"/>
      <c r="H68" s="1"/>
      <c r="I68" s="1"/>
      <c r="J68" s="1"/>
      <c r="K68" s="1"/>
      <c r="L68" s="1"/>
      <c r="M68" s="1"/>
      <c r="N68" s="426"/>
      <c r="O68" s="426"/>
      <c r="P68" s="426"/>
      <c r="Q68" s="426"/>
    </row>
    <row r="69" spans="1:17" x14ac:dyDescent="0.2">
      <c r="A69" s="1"/>
      <c r="B69" s="1"/>
      <c r="C69" s="1"/>
      <c r="D69" s="1"/>
      <c r="E69" s="1"/>
      <c r="F69" s="1"/>
      <c r="G69" s="1"/>
      <c r="H69" s="1"/>
      <c r="I69" s="1"/>
      <c r="J69" s="1"/>
      <c r="K69" s="1"/>
      <c r="L69" s="1"/>
      <c r="M69" s="1"/>
      <c r="N69" s="426"/>
      <c r="O69" s="426"/>
      <c r="P69" s="426"/>
      <c r="Q69" s="426"/>
    </row>
    <row r="70" spans="1:17" x14ac:dyDescent="0.2">
      <c r="A70" s="1"/>
      <c r="B70" s="82" t="s">
        <v>1033</v>
      </c>
      <c r="C70" s="318" t="s">
        <v>995</v>
      </c>
      <c r="D70" s="1"/>
      <c r="E70" s="1"/>
      <c r="F70" s="1"/>
      <c r="G70" s="1"/>
      <c r="H70" s="1"/>
      <c r="I70" s="1"/>
      <c r="J70" s="1"/>
      <c r="K70" s="1"/>
      <c r="L70" s="1"/>
      <c r="M70" s="1"/>
      <c r="N70" s="426"/>
      <c r="O70" s="426"/>
      <c r="P70" s="426"/>
      <c r="Q70" s="426"/>
    </row>
    <row r="71" spans="1:17" x14ac:dyDescent="0.2">
      <c r="A71" s="1"/>
      <c r="B71" s="1"/>
      <c r="C71" s="1"/>
      <c r="D71" s="1"/>
      <c r="E71" s="1"/>
      <c r="F71" s="1"/>
      <c r="G71" s="1"/>
      <c r="H71" s="1"/>
      <c r="I71" s="1"/>
      <c r="J71" s="1"/>
      <c r="K71" s="1"/>
      <c r="L71" s="1"/>
      <c r="M71" s="1"/>
      <c r="N71" s="426"/>
      <c r="O71" s="426"/>
      <c r="P71" s="426"/>
      <c r="Q71" s="426"/>
    </row>
    <row r="72" spans="1:17" x14ac:dyDescent="0.2">
      <c r="A72" s="1"/>
      <c r="B72" s="1"/>
      <c r="C72" s="1"/>
      <c r="D72" s="1"/>
      <c r="E72" s="1"/>
      <c r="F72" s="1"/>
      <c r="G72" s="1"/>
      <c r="H72" s="1"/>
      <c r="I72" s="1"/>
      <c r="J72" s="1"/>
      <c r="K72" s="1"/>
      <c r="L72" s="1"/>
      <c r="M72" s="1"/>
      <c r="N72" s="426"/>
      <c r="O72" s="426"/>
      <c r="P72" s="426"/>
      <c r="Q72" s="426"/>
    </row>
    <row r="73" spans="1:17" x14ac:dyDescent="0.2">
      <c r="A73" s="14"/>
      <c r="B73" s="14"/>
      <c r="C73" s="14"/>
      <c r="D73" s="14"/>
      <c r="E73" s="14"/>
      <c r="F73" s="14"/>
      <c r="G73" s="14"/>
      <c r="H73" s="14"/>
      <c r="I73" s="14"/>
      <c r="J73" s="1"/>
      <c r="K73" s="1"/>
      <c r="L73" s="1"/>
      <c r="M73" s="1"/>
      <c r="N73" s="426"/>
      <c r="O73" s="426"/>
      <c r="P73" s="426"/>
      <c r="Q73" s="426"/>
    </row>
    <row r="74" spans="1:17" x14ac:dyDescent="0.2">
      <c r="A74" s="1"/>
      <c r="B74" s="1"/>
      <c r="C74" s="1"/>
      <c r="D74" s="1"/>
      <c r="E74" s="1"/>
      <c r="F74" s="1"/>
      <c r="G74" s="1"/>
      <c r="H74" s="1"/>
      <c r="I74" s="1"/>
      <c r="J74" s="1"/>
      <c r="K74" s="1"/>
      <c r="L74" s="1"/>
      <c r="M74" s="1"/>
      <c r="N74" s="426"/>
      <c r="O74" s="426"/>
      <c r="P74" s="426"/>
      <c r="Q74" s="426"/>
    </row>
    <row r="75" spans="1:17" ht="26.25" thickBot="1" x14ac:dyDescent="0.25">
      <c r="A75" s="533" t="s">
        <v>1032</v>
      </c>
      <c r="B75" s="103" t="s">
        <v>2774</v>
      </c>
      <c r="C75" s="1"/>
      <c r="D75" s="102" t="s">
        <v>446</v>
      </c>
      <c r="E75" s="102" t="s">
        <v>1623</v>
      </c>
      <c r="F75" s="526" t="s">
        <v>2119</v>
      </c>
      <c r="G75" s="527" t="s">
        <v>2120</v>
      </c>
      <c r="H75" s="1"/>
      <c r="I75" s="1"/>
      <c r="J75" s="5" t="str">
        <f>IF(D76="x","FOUT","")</f>
        <v/>
      </c>
      <c r="K75" s="5">
        <f>ABS(IF(J75="JUIST","1","0"))</f>
        <v>0</v>
      </c>
      <c r="L75" s="3" t="s">
        <v>995</v>
      </c>
      <c r="M75" s="1"/>
      <c r="N75" s="426"/>
      <c r="O75" s="426"/>
      <c r="P75" s="426"/>
      <c r="Q75" s="426"/>
    </row>
    <row r="76" spans="1:17" ht="13.5" thickTop="1" x14ac:dyDescent="0.2">
      <c r="A76" s="1"/>
      <c r="B76" s="61" t="s">
        <v>2498</v>
      </c>
      <c r="C76" s="1"/>
      <c r="D76" s="425" t="s">
        <v>995</v>
      </c>
      <c r="E76" s="425" t="s">
        <v>995</v>
      </c>
      <c r="F76" s="425" t="s">
        <v>995</v>
      </c>
      <c r="G76" s="425" t="s">
        <v>995</v>
      </c>
      <c r="H76" s="1"/>
      <c r="I76" s="1"/>
      <c r="J76" s="5" t="str">
        <f>IF(E76="x","JUIST","")</f>
        <v/>
      </c>
      <c r="K76" s="5">
        <f>ABS(IF(J76="JUIST","1","0"))</f>
        <v>0</v>
      </c>
      <c r="L76" s="3">
        <v>1</v>
      </c>
      <c r="M76" s="1"/>
      <c r="N76" s="426"/>
      <c r="O76" s="426"/>
      <c r="P76" s="426"/>
      <c r="Q76" s="426"/>
    </row>
    <row r="77" spans="1:17" x14ac:dyDescent="0.2">
      <c r="A77" s="1"/>
      <c r="B77" s="67" t="s">
        <v>2499</v>
      </c>
      <c r="C77" s="1"/>
      <c r="D77" s="3" t="s">
        <v>475</v>
      </c>
      <c r="E77" s="3" t="s">
        <v>476</v>
      </c>
      <c r="F77" s="3" t="s">
        <v>477</v>
      </c>
      <c r="G77" s="3" t="s">
        <v>478</v>
      </c>
      <c r="H77" s="1"/>
      <c r="I77" s="1"/>
      <c r="J77" s="5" t="str">
        <f>IF(F76="x","FOUT","")</f>
        <v/>
      </c>
      <c r="K77" s="5">
        <f>ABS(IF(J77="JUIST","1","0"))</f>
        <v>0</v>
      </c>
      <c r="L77" s="430" t="s">
        <v>995</v>
      </c>
      <c r="M77" s="1"/>
      <c r="N77" s="426"/>
      <c r="O77" s="426"/>
      <c r="P77" s="426"/>
      <c r="Q77" s="426"/>
    </row>
    <row r="78" spans="1:17" x14ac:dyDescent="0.2">
      <c r="A78" s="1"/>
      <c r="B78" s="67" t="s">
        <v>2633</v>
      </c>
      <c r="C78" s="1"/>
      <c r="D78" s="1"/>
      <c r="E78" s="1"/>
      <c r="F78" s="1"/>
      <c r="G78" s="1"/>
      <c r="H78" s="1"/>
      <c r="I78" s="1"/>
      <c r="J78" s="5" t="str">
        <f>IF(G76="x","FOUT","")</f>
        <v/>
      </c>
      <c r="K78" s="5">
        <f>ABS(IF(J78="JUIST","1","0"))</f>
        <v>0</v>
      </c>
      <c r="L78" s="3" t="s">
        <v>995</v>
      </c>
      <c r="M78" s="1"/>
      <c r="N78" s="426"/>
      <c r="O78" s="426"/>
      <c r="P78" s="426"/>
      <c r="Q78" s="426"/>
    </row>
    <row r="79" spans="1:17" x14ac:dyDescent="0.2">
      <c r="A79" s="1"/>
      <c r="B79" s="67" t="s">
        <v>995</v>
      </c>
      <c r="D79" s="1"/>
      <c r="E79" s="1"/>
      <c r="F79" s="1"/>
      <c r="G79" s="1"/>
      <c r="H79" s="1"/>
      <c r="I79" s="1"/>
      <c r="J79" s="155"/>
      <c r="K79" s="79"/>
      <c r="L79" s="3"/>
      <c r="M79" s="1"/>
      <c r="N79" s="426"/>
      <c r="O79" s="426"/>
      <c r="P79" s="426"/>
      <c r="Q79" s="426"/>
    </row>
    <row r="80" spans="1:17" x14ac:dyDescent="0.2">
      <c r="A80" s="1"/>
      <c r="B80" s="82" t="s">
        <v>1033</v>
      </c>
      <c r="C80" s="479" t="s">
        <v>995</v>
      </c>
      <c r="D80" s="3"/>
      <c r="E80" s="3"/>
      <c r="F80" s="3"/>
      <c r="G80" s="1"/>
      <c r="H80" s="1"/>
      <c r="I80" s="1"/>
      <c r="J80" s="73" t="str">
        <f>IF(C80="x","Het juiste antwoord is:  B.","")</f>
        <v/>
      </c>
      <c r="K80" s="1"/>
      <c r="L80" s="3"/>
      <c r="M80" s="1"/>
      <c r="N80" s="426"/>
      <c r="O80" s="426"/>
      <c r="P80" s="426"/>
      <c r="Q80" s="426"/>
    </row>
    <row r="81" spans="1:17" x14ac:dyDescent="0.2">
      <c r="A81" s="1"/>
      <c r="B81" s="17" t="str">
        <f>IF(C80="x",J80,"")</f>
        <v/>
      </c>
      <c r="C81" s="1"/>
      <c r="D81" s="1"/>
      <c r="E81" s="1"/>
      <c r="F81" s="1"/>
      <c r="G81" s="1"/>
      <c r="H81" s="1"/>
      <c r="I81" s="1"/>
      <c r="J81" s="1"/>
      <c r="K81" s="1"/>
      <c r="L81" s="3"/>
      <c r="M81" s="1"/>
      <c r="N81" s="426"/>
      <c r="O81" s="426"/>
      <c r="P81" s="426"/>
      <c r="Q81" s="426"/>
    </row>
    <row r="82" spans="1:17" x14ac:dyDescent="0.2">
      <c r="A82" s="14"/>
      <c r="B82" s="14"/>
      <c r="C82" s="14"/>
      <c r="D82" s="14"/>
      <c r="E82" s="14"/>
      <c r="F82" s="14"/>
      <c r="G82" s="14"/>
      <c r="H82" s="14"/>
      <c r="I82" s="14"/>
      <c r="J82" s="1"/>
      <c r="K82" s="1"/>
      <c r="L82" s="3"/>
      <c r="M82" s="1"/>
      <c r="N82" s="426"/>
      <c r="O82" s="426"/>
      <c r="P82" s="426"/>
      <c r="Q82" s="426"/>
    </row>
    <row r="83" spans="1:17" x14ac:dyDescent="0.2">
      <c r="A83" s="1"/>
      <c r="B83" s="1"/>
      <c r="C83" s="1"/>
      <c r="D83" s="1"/>
      <c r="E83" s="1"/>
      <c r="F83" s="1"/>
      <c r="G83" s="1"/>
      <c r="H83" s="1"/>
      <c r="I83" s="1"/>
      <c r="J83" s="1"/>
      <c r="K83" s="1"/>
      <c r="L83" s="1"/>
      <c r="M83" s="1"/>
      <c r="N83" s="426"/>
      <c r="O83" s="426"/>
      <c r="P83" s="426"/>
      <c r="Q83" s="426"/>
    </row>
    <row r="84" spans="1:17" x14ac:dyDescent="0.2">
      <c r="A84" s="67" t="s">
        <v>1034</v>
      </c>
      <c r="B84" s="67" t="s">
        <v>1971</v>
      </c>
      <c r="C84" s="1"/>
      <c r="D84" s="1"/>
      <c r="E84" s="1"/>
      <c r="F84" s="1"/>
      <c r="G84" s="1"/>
      <c r="H84" s="1"/>
      <c r="I84" s="1"/>
      <c r="J84" s="1"/>
      <c r="K84" s="1"/>
      <c r="L84" s="1"/>
      <c r="M84" s="1"/>
      <c r="N84" s="426"/>
      <c r="O84" s="426"/>
      <c r="P84" s="426"/>
      <c r="Q84" s="426"/>
    </row>
    <row r="85" spans="1:17" x14ac:dyDescent="0.2">
      <c r="A85" s="1"/>
      <c r="B85" s="67" t="s">
        <v>1972</v>
      </c>
      <c r="C85" s="1"/>
      <c r="D85" s="1"/>
      <c r="E85" s="1"/>
      <c r="F85" s="1"/>
      <c r="G85" s="1"/>
      <c r="H85" s="1"/>
      <c r="I85" s="1"/>
      <c r="J85" s="1"/>
      <c r="K85" s="1"/>
      <c r="L85" s="1"/>
      <c r="M85" s="1"/>
      <c r="N85" s="426"/>
      <c r="O85" s="426"/>
      <c r="P85" s="426"/>
      <c r="Q85" s="426"/>
    </row>
    <row r="86" spans="1:17" x14ac:dyDescent="0.2">
      <c r="A86" s="1"/>
      <c r="B86" s="519" t="s">
        <v>2500</v>
      </c>
      <c r="C86" s="1"/>
      <c r="D86" s="1"/>
      <c r="E86" s="1"/>
      <c r="F86" s="1"/>
      <c r="G86" s="1"/>
      <c r="H86" s="1"/>
      <c r="I86" s="1"/>
      <c r="J86" s="1"/>
      <c r="K86" s="1"/>
      <c r="L86" s="1"/>
      <c r="M86" s="1"/>
      <c r="N86" s="426"/>
      <c r="O86" s="426"/>
      <c r="P86" s="426"/>
      <c r="Q86" s="426"/>
    </row>
    <row r="87" spans="1:17" x14ac:dyDescent="0.2">
      <c r="A87" s="1"/>
      <c r="B87" s="67" t="s">
        <v>1973</v>
      </c>
      <c r="C87" s="1"/>
      <c r="D87" s="1"/>
      <c r="E87" s="1"/>
      <c r="F87" s="1"/>
      <c r="G87" s="1"/>
      <c r="H87" s="1"/>
      <c r="I87" s="1"/>
      <c r="J87" s="1"/>
      <c r="K87" s="1"/>
      <c r="L87" s="1"/>
      <c r="M87" s="1"/>
      <c r="N87" s="426"/>
      <c r="O87" s="426"/>
      <c r="P87" s="426"/>
      <c r="Q87" s="426"/>
    </row>
    <row r="88" spans="1:17" x14ac:dyDescent="0.2">
      <c r="A88" s="1"/>
      <c r="B88" s="1"/>
      <c r="C88" s="1"/>
      <c r="D88" s="1"/>
      <c r="E88" s="1"/>
      <c r="F88" s="465" t="s">
        <v>304</v>
      </c>
      <c r="G88" s="465" t="s">
        <v>306</v>
      </c>
      <c r="H88" s="1"/>
      <c r="I88" s="1"/>
      <c r="J88" s="1"/>
      <c r="K88" s="1"/>
      <c r="L88" s="1"/>
      <c r="M88" s="1"/>
      <c r="N88" s="426"/>
      <c r="O88" s="426"/>
      <c r="P88" s="426"/>
      <c r="Q88" s="426"/>
    </row>
    <row r="89" spans="1:17" x14ac:dyDescent="0.2">
      <c r="A89" s="27" t="s">
        <v>999</v>
      </c>
      <c r="B89" s="537" t="s">
        <v>2501</v>
      </c>
      <c r="C89" s="476"/>
      <c r="D89" s="478"/>
      <c r="E89" s="477"/>
      <c r="F89" s="318" t="s">
        <v>995</v>
      </c>
      <c r="G89" s="318" t="s">
        <v>995</v>
      </c>
      <c r="H89" s="368" t="str">
        <f>IF(C96="x",M89,"")</f>
        <v/>
      </c>
      <c r="I89" s="1"/>
      <c r="J89" s="5" t="str">
        <f>IF(G89="x","JUIST","")</f>
        <v/>
      </c>
      <c r="K89" s="5">
        <f t="shared" ref="K89:K94" si="0">ABS(IF(J89="JUIST","1","0"))</f>
        <v>0</v>
      </c>
      <c r="L89" s="430">
        <v>1</v>
      </c>
      <c r="M89" s="67" t="s">
        <v>1985</v>
      </c>
      <c r="N89" s="426"/>
      <c r="O89" s="426"/>
      <c r="P89" s="426"/>
      <c r="Q89" s="426"/>
    </row>
    <row r="90" spans="1:17" x14ac:dyDescent="0.2">
      <c r="A90" s="27" t="s">
        <v>1000</v>
      </c>
      <c r="B90" s="475" t="s">
        <v>1974</v>
      </c>
      <c r="C90" s="476"/>
      <c r="D90" s="478"/>
      <c r="E90" s="477"/>
      <c r="F90" s="318" t="s">
        <v>995</v>
      </c>
      <c r="G90" s="318" t="s">
        <v>995</v>
      </c>
      <c r="H90" s="368" t="str">
        <f>IF(C96="x",M90,"")</f>
        <v/>
      </c>
      <c r="I90" s="1"/>
      <c r="J90" s="5" t="str">
        <f>IF(G90="x","JUIST","")</f>
        <v/>
      </c>
      <c r="K90" s="5">
        <f t="shared" si="0"/>
        <v>0</v>
      </c>
      <c r="L90" s="3">
        <v>1</v>
      </c>
      <c r="M90" s="67" t="s">
        <v>1985</v>
      </c>
      <c r="N90" s="426"/>
      <c r="O90" s="426"/>
      <c r="P90" s="426"/>
      <c r="Q90" s="426"/>
    </row>
    <row r="91" spans="1:17" x14ac:dyDescent="0.2">
      <c r="A91" s="27" t="s">
        <v>1001</v>
      </c>
      <c r="B91" s="537" t="s">
        <v>1975</v>
      </c>
      <c r="C91" s="476"/>
      <c r="D91" s="478"/>
      <c r="E91" s="477"/>
      <c r="F91" s="318" t="s">
        <v>995</v>
      </c>
      <c r="G91" s="318" t="s">
        <v>995</v>
      </c>
      <c r="H91" s="368" t="str">
        <f>IF(C96="x",M91,"")</f>
        <v/>
      </c>
      <c r="I91" s="1"/>
      <c r="J91" s="5" t="str">
        <f>IF(F91="x","JUIST","")</f>
        <v/>
      </c>
      <c r="K91" s="5">
        <f t="shared" si="0"/>
        <v>0</v>
      </c>
      <c r="L91" s="3">
        <v>1</v>
      </c>
      <c r="M91" s="67" t="s">
        <v>1986</v>
      </c>
      <c r="N91" s="426"/>
      <c r="O91" s="426"/>
      <c r="P91" s="426"/>
      <c r="Q91" s="426"/>
    </row>
    <row r="92" spans="1:17" x14ac:dyDescent="0.2">
      <c r="A92" s="27" t="s">
        <v>1002</v>
      </c>
      <c r="B92" s="475" t="s">
        <v>1976</v>
      </c>
      <c r="C92" s="476"/>
      <c r="D92" s="478"/>
      <c r="E92" s="477"/>
      <c r="F92" s="318" t="s">
        <v>1497</v>
      </c>
      <c r="G92" s="318" t="s">
        <v>995</v>
      </c>
      <c r="H92" s="368" t="str">
        <f>IF(C96="x",M92,"")</f>
        <v/>
      </c>
      <c r="I92" s="1"/>
      <c r="J92" s="5" t="str">
        <f>IF(G92="x","JUIST","")</f>
        <v/>
      </c>
      <c r="K92" s="5">
        <f t="shared" si="0"/>
        <v>0</v>
      </c>
      <c r="L92" s="430">
        <v>1</v>
      </c>
      <c r="M92" s="67" t="s">
        <v>1977</v>
      </c>
      <c r="N92" s="426"/>
      <c r="O92" s="426"/>
      <c r="P92" s="426"/>
      <c r="Q92" s="426"/>
    </row>
    <row r="93" spans="1:17" x14ac:dyDescent="0.2">
      <c r="A93" s="27" t="s">
        <v>863</v>
      </c>
      <c r="B93" s="475" t="s">
        <v>1978</v>
      </c>
      <c r="C93" s="476"/>
      <c r="D93" s="478"/>
      <c r="E93" s="477"/>
      <c r="F93" s="318" t="s">
        <v>995</v>
      </c>
      <c r="G93" s="318" t="s">
        <v>995</v>
      </c>
      <c r="H93" s="368" t="str">
        <f>IF(C96="x",M93,"")</f>
        <v/>
      </c>
      <c r="I93" s="1"/>
      <c r="J93" s="5" t="str">
        <f t="shared" ref="J93:J94" si="1">IF(G93="x","JUIST","")</f>
        <v/>
      </c>
      <c r="K93" s="5">
        <f t="shared" si="0"/>
        <v>0</v>
      </c>
      <c r="L93" s="430">
        <v>1</v>
      </c>
      <c r="M93" s="67" t="s">
        <v>1985</v>
      </c>
      <c r="N93" s="426"/>
      <c r="O93" s="426"/>
      <c r="P93" s="426"/>
      <c r="Q93" s="426"/>
    </row>
    <row r="94" spans="1:17" x14ac:dyDescent="0.2">
      <c r="A94" s="371" t="s">
        <v>1080</v>
      </c>
      <c r="B94" s="475" t="s">
        <v>1980</v>
      </c>
      <c r="C94" s="476"/>
      <c r="D94" s="478"/>
      <c r="E94" s="477"/>
      <c r="F94" s="318" t="s">
        <v>995</v>
      </c>
      <c r="G94" s="318" t="s">
        <v>995</v>
      </c>
      <c r="H94" s="368" t="str">
        <f>IF(C96="x",M94,"")</f>
        <v/>
      </c>
      <c r="I94" s="1"/>
      <c r="J94" s="5" t="str">
        <f t="shared" si="1"/>
        <v/>
      </c>
      <c r="K94" s="5">
        <f t="shared" si="0"/>
        <v>0</v>
      </c>
      <c r="L94" s="430">
        <v>1</v>
      </c>
      <c r="M94" s="67" t="s">
        <v>1985</v>
      </c>
      <c r="N94" s="426"/>
      <c r="O94" s="426"/>
      <c r="P94" s="426"/>
      <c r="Q94" s="426"/>
    </row>
    <row r="95" spans="1:17" x14ac:dyDescent="0.2">
      <c r="A95" s="365"/>
      <c r="B95" s="370"/>
      <c r="C95" s="367"/>
      <c r="D95" s="1"/>
      <c r="E95" s="1"/>
      <c r="F95" s="1"/>
      <c r="G95" s="1"/>
      <c r="H95" s="1"/>
      <c r="I95" s="1"/>
      <c r="J95" s="1"/>
      <c r="K95" s="1"/>
      <c r="L95" s="3"/>
      <c r="M95" s="1"/>
      <c r="N95" s="426"/>
      <c r="O95" s="426"/>
      <c r="P95" s="426"/>
      <c r="Q95" s="426"/>
    </row>
    <row r="96" spans="1:17" x14ac:dyDescent="0.2">
      <c r="A96" s="365"/>
      <c r="B96" s="82" t="s">
        <v>1033</v>
      </c>
      <c r="C96" s="318" t="s">
        <v>995</v>
      </c>
      <c r="D96" s="1"/>
      <c r="E96" s="1"/>
      <c r="F96" s="1"/>
      <c r="G96" s="1"/>
      <c r="H96" s="1"/>
      <c r="I96" s="1"/>
      <c r="J96" s="1"/>
      <c r="K96" s="1"/>
      <c r="L96" s="3"/>
      <c r="M96" s="1"/>
      <c r="N96" s="426"/>
      <c r="O96" s="426"/>
      <c r="P96" s="426"/>
      <c r="Q96" s="426"/>
    </row>
    <row r="97" spans="1:17" x14ac:dyDescent="0.2">
      <c r="A97" s="1"/>
      <c r="B97" s="1"/>
      <c r="C97" s="1"/>
      <c r="D97" s="1"/>
      <c r="E97" s="1"/>
      <c r="F97" s="1"/>
      <c r="G97" s="1"/>
      <c r="H97" s="1"/>
      <c r="I97" s="1"/>
      <c r="J97" s="1"/>
      <c r="K97" s="1"/>
      <c r="L97" s="3"/>
      <c r="M97" s="1"/>
      <c r="N97" s="426"/>
      <c r="O97" s="426"/>
      <c r="P97" s="426"/>
      <c r="Q97" s="426"/>
    </row>
    <row r="98" spans="1:17" x14ac:dyDescent="0.2">
      <c r="A98" s="14"/>
      <c r="B98" s="14"/>
      <c r="C98" s="14"/>
      <c r="D98" s="14"/>
      <c r="E98" s="14"/>
      <c r="F98" s="14"/>
      <c r="G98" s="14"/>
      <c r="H98" s="14"/>
      <c r="I98" s="14"/>
      <c r="J98" s="1"/>
      <c r="K98" s="1"/>
      <c r="L98" s="1"/>
      <c r="M98" s="1"/>
      <c r="N98" s="426"/>
      <c r="O98" s="426"/>
      <c r="P98" s="426"/>
      <c r="Q98" s="426"/>
    </row>
    <row r="99" spans="1:17" x14ac:dyDescent="0.2">
      <c r="A99" s="1"/>
      <c r="B99" s="1"/>
      <c r="C99" s="1"/>
      <c r="D99" s="1"/>
      <c r="E99" s="1"/>
      <c r="F99" s="1"/>
      <c r="G99" s="1"/>
      <c r="H99" s="1"/>
      <c r="I99" s="1"/>
      <c r="J99" s="1"/>
      <c r="K99" s="1"/>
      <c r="L99" s="1"/>
      <c r="M99" s="1"/>
      <c r="N99" s="426"/>
      <c r="O99" s="426"/>
      <c r="P99" s="426"/>
      <c r="Q99" s="426"/>
    </row>
    <row r="100" spans="1:17" x14ac:dyDescent="0.2">
      <c r="A100" s="1"/>
      <c r="B100" s="67" t="s">
        <v>1981</v>
      </c>
      <c r="C100" s="1"/>
      <c r="D100" s="1"/>
      <c r="E100" s="1"/>
      <c r="F100" s="1"/>
      <c r="G100" s="1"/>
      <c r="H100" s="1"/>
      <c r="I100" s="1"/>
      <c r="J100" s="1"/>
      <c r="K100" s="1"/>
      <c r="L100" s="1"/>
      <c r="M100" s="1"/>
      <c r="N100" s="426"/>
      <c r="O100" s="426"/>
      <c r="P100" s="426"/>
      <c r="Q100" s="426"/>
    </row>
    <row r="101" spans="1:17" x14ac:dyDescent="0.2">
      <c r="A101" s="1"/>
      <c r="B101" s="67" t="s">
        <v>1982</v>
      </c>
      <c r="C101" s="1"/>
      <c r="D101" s="1"/>
      <c r="E101" s="1"/>
      <c r="F101" s="1"/>
      <c r="G101" s="1"/>
      <c r="H101" s="1"/>
      <c r="I101" s="1"/>
      <c r="J101" s="1"/>
      <c r="K101" s="1"/>
      <c r="L101" s="1"/>
      <c r="M101" s="1"/>
      <c r="N101" s="426"/>
      <c r="O101" s="426"/>
      <c r="P101" s="426"/>
      <c r="Q101" s="426"/>
    </row>
    <row r="102" spans="1:17" x14ac:dyDescent="0.2">
      <c r="A102" s="1"/>
      <c r="B102" s="1"/>
      <c r="C102" s="1"/>
      <c r="D102" s="1"/>
      <c r="E102" s="1"/>
      <c r="F102" s="1"/>
      <c r="G102" s="1"/>
      <c r="H102" s="1"/>
      <c r="I102" s="1"/>
      <c r="J102" s="1"/>
      <c r="K102" s="1"/>
      <c r="L102" s="1"/>
      <c r="M102" s="1"/>
      <c r="N102" s="426"/>
      <c r="O102" s="426"/>
      <c r="P102" s="426"/>
      <c r="Q102" s="426"/>
    </row>
    <row r="103" spans="1:17" x14ac:dyDescent="0.2">
      <c r="A103" s="1"/>
      <c r="B103" s="1"/>
      <c r="C103" s="1"/>
      <c r="D103" s="1"/>
      <c r="E103" s="1"/>
      <c r="F103" s="465" t="s">
        <v>304</v>
      </c>
      <c r="G103" s="465" t="s">
        <v>306</v>
      </c>
      <c r="H103" s="1"/>
      <c r="I103" s="1"/>
      <c r="J103" s="1"/>
      <c r="K103" s="1"/>
      <c r="L103" s="1"/>
      <c r="M103" s="1"/>
      <c r="N103" s="426"/>
      <c r="O103" s="426"/>
      <c r="P103" s="426"/>
      <c r="Q103" s="426"/>
    </row>
    <row r="104" spans="1:17" x14ac:dyDescent="0.2">
      <c r="A104" s="27" t="s">
        <v>999</v>
      </c>
      <c r="B104" s="475" t="s">
        <v>1983</v>
      </c>
      <c r="C104" s="476"/>
      <c r="D104" s="478"/>
      <c r="E104" s="477"/>
      <c r="F104" s="318" t="s">
        <v>995</v>
      </c>
      <c r="G104" s="318" t="s">
        <v>995</v>
      </c>
      <c r="H104" s="368" t="str">
        <f>IF(C109="x",M104,"")</f>
        <v/>
      </c>
      <c r="I104" s="1"/>
      <c r="J104" s="5" t="str">
        <f>IF(G104="x","JUIST","")</f>
        <v/>
      </c>
      <c r="K104" s="5">
        <f>ABS(IF(J104="JUIST","1","0"))</f>
        <v>0</v>
      </c>
      <c r="L104" s="430">
        <v>1</v>
      </c>
      <c r="M104" s="67" t="s">
        <v>1985</v>
      </c>
      <c r="N104" s="426"/>
      <c r="O104" s="426"/>
      <c r="P104" s="426"/>
      <c r="Q104" s="426"/>
    </row>
    <row r="105" spans="1:17" x14ac:dyDescent="0.2">
      <c r="A105" s="27" t="s">
        <v>1000</v>
      </c>
      <c r="B105" s="475" t="s">
        <v>1984</v>
      </c>
      <c r="C105" s="476"/>
      <c r="D105" s="478"/>
      <c r="E105" s="477"/>
      <c r="F105" s="318" t="s">
        <v>995</v>
      </c>
      <c r="G105" s="318" t="s">
        <v>995</v>
      </c>
      <c r="H105" s="368" t="str">
        <f>IF(C109="x",M105,"")</f>
        <v/>
      </c>
      <c r="I105" s="1"/>
      <c r="J105" s="5" t="str">
        <f>IF(F105="x","JUIST","")</f>
        <v/>
      </c>
      <c r="K105" s="5">
        <f>ABS(IF(J105="JUIST","1","0"))</f>
        <v>0</v>
      </c>
      <c r="L105" s="3">
        <v>1</v>
      </c>
      <c r="M105" s="67" t="s">
        <v>1986</v>
      </c>
      <c r="N105" s="426"/>
      <c r="O105" s="426"/>
      <c r="P105" s="426"/>
      <c r="Q105" s="426"/>
    </row>
    <row r="106" spans="1:17" x14ac:dyDescent="0.2">
      <c r="A106" s="27" t="s">
        <v>1001</v>
      </c>
      <c r="B106" s="537" t="s">
        <v>2502</v>
      </c>
      <c r="C106" s="476"/>
      <c r="D106" s="538"/>
      <c r="E106" s="477"/>
      <c r="F106" s="318" t="s">
        <v>995</v>
      </c>
      <c r="G106" s="318" t="s">
        <v>995</v>
      </c>
      <c r="H106" s="368" t="str">
        <f>IF(C109="x",M106,"")</f>
        <v/>
      </c>
      <c r="I106" s="1"/>
      <c r="J106" s="5" t="str">
        <f>IF(G106="x","JUIST","")</f>
        <v/>
      </c>
      <c r="K106" s="5">
        <f>ABS(IF(J106="JUIST","1","0"))</f>
        <v>0</v>
      </c>
      <c r="L106" s="3">
        <v>1</v>
      </c>
      <c r="M106" s="67" t="s">
        <v>1985</v>
      </c>
      <c r="N106" s="426"/>
      <c r="O106" s="426"/>
      <c r="P106" s="426"/>
      <c r="Q106" s="426"/>
    </row>
    <row r="107" spans="1:17" x14ac:dyDescent="0.2">
      <c r="A107" s="27" t="s">
        <v>1002</v>
      </c>
      <c r="B107" s="537" t="s">
        <v>2503</v>
      </c>
      <c r="C107" s="476"/>
      <c r="D107" s="478"/>
      <c r="E107" s="477"/>
      <c r="F107" s="318" t="s">
        <v>1497</v>
      </c>
      <c r="G107" s="318" t="s">
        <v>995</v>
      </c>
      <c r="H107" s="368" t="str">
        <f>IF(C109="x",M107,"")</f>
        <v/>
      </c>
      <c r="I107" s="1"/>
      <c r="J107" s="5" t="str">
        <f>IF(G107="x","JUIST","")</f>
        <v/>
      </c>
      <c r="K107" s="5">
        <f>ABS(IF(J107="JUIST","1","0"))</f>
        <v>0</v>
      </c>
      <c r="L107" s="430">
        <v>1</v>
      </c>
      <c r="M107" s="67" t="s">
        <v>1985</v>
      </c>
      <c r="N107" s="426"/>
      <c r="O107" s="426"/>
      <c r="P107" s="426"/>
      <c r="Q107" s="426"/>
    </row>
    <row r="108" spans="1:17" x14ac:dyDescent="0.2">
      <c r="A108" s="365"/>
      <c r="B108" s="370"/>
      <c r="C108" s="367"/>
      <c r="D108" s="1"/>
      <c r="E108" s="1"/>
      <c r="F108" s="1"/>
      <c r="G108" s="1"/>
      <c r="H108" s="1"/>
      <c r="I108" s="1"/>
      <c r="J108" s="1"/>
      <c r="K108" s="1"/>
      <c r="L108" s="3"/>
      <c r="M108" s="1"/>
      <c r="N108" s="426"/>
      <c r="O108" s="426"/>
      <c r="P108" s="426"/>
      <c r="Q108" s="426"/>
    </row>
    <row r="109" spans="1:17" x14ac:dyDescent="0.2">
      <c r="A109" s="365"/>
      <c r="B109" s="82" t="s">
        <v>1033</v>
      </c>
      <c r="C109" s="318" t="s">
        <v>995</v>
      </c>
      <c r="D109" s="1"/>
      <c r="E109" s="1"/>
      <c r="F109" s="1"/>
      <c r="G109" s="1"/>
      <c r="H109" s="1"/>
      <c r="I109" s="1"/>
      <c r="J109" s="1"/>
      <c r="K109" s="1"/>
      <c r="L109" s="3"/>
      <c r="M109" s="1"/>
      <c r="N109" s="426"/>
      <c r="O109" s="426"/>
      <c r="P109" s="426"/>
      <c r="Q109" s="426"/>
    </row>
    <row r="110" spans="1:17" x14ac:dyDescent="0.2">
      <c r="A110" s="1"/>
      <c r="B110" s="1"/>
      <c r="C110" s="1"/>
      <c r="D110" s="1"/>
      <c r="E110" s="1"/>
      <c r="F110" s="1"/>
      <c r="G110" s="1"/>
      <c r="H110" s="1"/>
      <c r="I110" s="1"/>
      <c r="J110" s="1"/>
      <c r="K110" s="1"/>
      <c r="L110" s="1"/>
      <c r="M110" s="1"/>
      <c r="N110" s="426"/>
      <c r="O110" s="426"/>
      <c r="P110" s="426"/>
      <c r="Q110" s="426"/>
    </row>
    <row r="111" spans="1:17" x14ac:dyDescent="0.2">
      <c r="A111" s="14"/>
      <c r="B111" s="14"/>
      <c r="C111" s="14"/>
      <c r="D111" s="14"/>
      <c r="E111" s="14"/>
      <c r="F111" s="14"/>
      <c r="G111" s="14"/>
      <c r="H111" s="14"/>
      <c r="I111" s="14"/>
      <c r="J111" s="1"/>
      <c r="K111" s="1"/>
      <c r="L111" s="1"/>
      <c r="M111" s="1"/>
      <c r="N111" s="426"/>
      <c r="O111" s="426"/>
      <c r="P111" s="426"/>
      <c r="Q111" s="426"/>
    </row>
    <row r="112" spans="1:17" x14ac:dyDescent="0.2">
      <c r="A112" s="1"/>
      <c r="B112" s="1"/>
      <c r="C112" s="1"/>
      <c r="D112" s="1"/>
      <c r="E112" s="1"/>
      <c r="F112" s="1"/>
      <c r="G112" s="1"/>
      <c r="H112" s="1"/>
      <c r="I112" s="1"/>
      <c r="J112" s="1"/>
      <c r="K112" s="1"/>
      <c r="L112" s="1"/>
      <c r="M112" s="1"/>
      <c r="N112" s="426"/>
      <c r="O112" s="426"/>
      <c r="P112" s="426"/>
      <c r="Q112" s="426"/>
    </row>
    <row r="113" spans="1:17" x14ac:dyDescent="0.2">
      <c r="A113" s="1" t="s">
        <v>1032</v>
      </c>
      <c r="B113" s="67" t="s">
        <v>1888</v>
      </c>
      <c r="C113" s="1"/>
      <c r="D113" s="1"/>
      <c r="E113" s="5" t="s">
        <v>992</v>
      </c>
      <c r="G113" s="1"/>
      <c r="H113" s="1"/>
      <c r="I113" s="1"/>
      <c r="J113" s="5" t="e">
        <f>SEARCH("mensgericht",D120)</f>
        <v>#VALUE!</v>
      </c>
      <c r="K113" s="1"/>
      <c r="L113" s="3"/>
      <c r="M113" s="1" t="s">
        <v>1153</v>
      </c>
      <c r="N113" s="426"/>
      <c r="O113" s="426"/>
      <c r="P113" s="426"/>
      <c r="Q113" s="426"/>
    </row>
    <row r="114" spans="1:17" x14ac:dyDescent="0.2">
      <c r="A114" s="1"/>
      <c r="B114" s="1" t="s">
        <v>1155</v>
      </c>
      <c r="C114" s="1"/>
      <c r="D114" s="1"/>
      <c r="E114" s="1"/>
      <c r="F114" s="1"/>
      <c r="G114" s="1"/>
      <c r="H114" s="1"/>
      <c r="I114" s="1"/>
      <c r="J114" s="5">
        <f>ABS(ISERR(J113))</f>
        <v>1</v>
      </c>
      <c r="K114" s="5">
        <f>ABS(IF(J114=0,"1","0"))</f>
        <v>0</v>
      </c>
      <c r="L114" s="3">
        <v>1</v>
      </c>
      <c r="M114" s="1"/>
      <c r="N114" s="426"/>
      <c r="O114" s="426"/>
      <c r="P114" s="426"/>
      <c r="Q114" s="426"/>
    </row>
    <row r="115" spans="1:17" x14ac:dyDescent="0.2">
      <c r="A115" s="1"/>
      <c r="B115" s="1" t="s">
        <v>1156</v>
      </c>
      <c r="C115" s="1"/>
      <c r="D115" s="6" t="s">
        <v>993</v>
      </c>
      <c r="E115" s="1"/>
      <c r="F115" s="6" t="s">
        <v>1148</v>
      </c>
      <c r="G115" s="1"/>
      <c r="H115" s="1"/>
      <c r="I115" s="1"/>
      <c r="J115" s="5" t="e">
        <f>SEARCH("productgericht",F120)</f>
        <v>#VALUE!</v>
      </c>
      <c r="K115" s="1"/>
      <c r="L115" s="3"/>
      <c r="M115" s="1" t="s">
        <v>1154</v>
      </c>
      <c r="N115" s="426"/>
      <c r="O115" s="426"/>
      <c r="P115" s="426"/>
      <c r="Q115" s="426"/>
    </row>
    <row r="116" spans="1:17" x14ac:dyDescent="0.2">
      <c r="A116" s="1"/>
      <c r="B116" s="1" t="s">
        <v>1157</v>
      </c>
      <c r="C116" s="1"/>
      <c r="D116" s="1"/>
      <c r="E116" s="1"/>
      <c r="F116" s="1"/>
      <c r="G116" s="1"/>
      <c r="H116" s="1"/>
      <c r="I116" s="1"/>
      <c r="J116" s="5">
        <f>ABS(ISERR(J115))</f>
        <v>1</v>
      </c>
      <c r="K116" s="5">
        <f>ABS(IF(J116=0,"1","0"))</f>
        <v>0</v>
      </c>
      <c r="L116" s="3">
        <v>1</v>
      </c>
      <c r="M116" s="1"/>
      <c r="N116" s="426"/>
      <c r="O116" s="426"/>
      <c r="P116" s="426"/>
      <c r="Q116" s="426"/>
    </row>
    <row r="117" spans="1:17" x14ac:dyDescent="0.2">
      <c r="A117" s="1"/>
      <c r="B117" s="1" t="s">
        <v>2504</v>
      </c>
      <c r="C117" s="1"/>
      <c r="D117" s="54" t="s">
        <v>1149</v>
      </c>
      <c r="E117" s="1"/>
      <c r="F117" s="1"/>
      <c r="G117" s="1"/>
      <c r="H117" s="1"/>
      <c r="I117" s="1"/>
      <c r="J117" s="1"/>
      <c r="K117" s="1"/>
      <c r="L117" s="1"/>
      <c r="M117" s="1"/>
      <c r="N117" s="426"/>
      <c r="O117" s="426"/>
      <c r="P117" s="426"/>
      <c r="Q117" s="426"/>
    </row>
    <row r="118" spans="1:17" x14ac:dyDescent="0.2">
      <c r="A118" s="1"/>
      <c r="B118" s="1" t="s">
        <v>2505</v>
      </c>
      <c r="C118" s="1"/>
      <c r="D118" s="28" t="s">
        <v>1150</v>
      </c>
      <c r="E118" s="3" t="s">
        <v>1510</v>
      </c>
      <c r="F118" s="1"/>
      <c r="G118" s="1"/>
      <c r="H118" s="1"/>
      <c r="I118" s="1"/>
      <c r="J118" s="1"/>
      <c r="K118" s="1"/>
      <c r="L118" s="1"/>
      <c r="M118" s="1"/>
      <c r="N118" s="426"/>
      <c r="O118" s="426"/>
      <c r="P118" s="426"/>
      <c r="Q118" s="426"/>
    </row>
    <row r="119" spans="1:17" x14ac:dyDescent="0.2">
      <c r="A119" s="1"/>
      <c r="B119" s="1"/>
      <c r="C119" s="1"/>
      <c r="D119" s="1"/>
      <c r="E119" s="1"/>
      <c r="F119" s="1"/>
      <c r="G119" s="1"/>
      <c r="H119" s="1"/>
      <c r="I119" s="1"/>
      <c r="J119" s="1"/>
      <c r="K119" s="1"/>
      <c r="L119" s="1"/>
      <c r="M119" s="1"/>
      <c r="N119" s="426"/>
      <c r="O119" s="426"/>
      <c r="P119" s="426"/>
      <c r="Q119" s="426"/>
    </row>
    <row r="120" spans="1:17" x14ac:dyDescent="0.2">
      <c r="A120" s="1"/>
      <c r="B120" s="1"/>
      <c r="C120" s="1"/>
      <c r="D120" s="7" t="s">
        <v>995</v>
      </c>
      <c r="E120" s="46" t="s">
        <v>1151</v>
      </c>
      <c r="F120" s="7" t="s">
        <v>995</v>
      </c>
      <c r="G120" s="1"/>
      <c r="H120" s="1"/>
      <c r="I120" s="1"/>
      <c r="J120" s="1"/>
      <c r="K120" s="1"/>
      <c r="L120" s="1"/>
      <c r="M120" s="1"/>
      <c r="N120" s="426"/>
      <c r="O120" s="426"/>
      <c r="P120" s="426"/>
      <c r="Q120" s="426"/>
    </row>
    <row r="121" spans="1:17" x14ac:dyDescent="0.2">
      <c r="A121" s="1"/>
      <c r="B121" s="1"/>
      <c r="C121" s="1"/>
      <c r="D121" s="1" t="str">
        <f>IF(C124="x",M113,"")</f>
        <v/>
      </c>
      <c r="E121" s="1"/>
      <c r="F121" s="1" t="str">
        <f>IF(C124="x",M115,"")</f>
        <v/>
      </c>
      <c r="G121" s="1"/>
      <c r="H121" s="1"/>
      <c r="I121" s="1"/>
      <c r="J121" s="1"/>
      <c r="K121" s="1"/>
      <c r="L121" s="1"/>
      <c r="M121" s="1"/>
      <c r="N121" s="426"/>
      <c r="O121" s="426"/>
      <c r="P121" s="426"/>
      <c r="Q121" s="426"/>
    </row>
    <row r="122" spans="1:17" x14ac:dyDescent="0.2">
      <c r="A122" s="1"/>
      <c r="B122" s="1"/>
      <c r="C122" s="1"/>
      <c r="D122" s="6" t="s">
        <v>1152</v>
      </c>
      <c r="E122" s="46" t="s">
        <v>1151</v>
      </c>
      <c r="F122" s="6" t="s">
        <v>1010</v>
      </c>
      <c r="G122" s="1"/>
      <c r="H122" s="1"/>
      <c r="I122" s="1"/>
      <c r="J122" s="1"/>
      <c r="K122" s="1"/>
      <c r="L122" s="1"/>
      <c r="M122" s="1"/>
      <c r="N122" s="426"/>
      <c r="O122" s="426"/>
      <c r="P122" s="426"/>
      <c r="Q122" s="426"/>
    </row>
    <row r="123" spans="1:17" x14ac:dyDescent="0.2">
      <c r="A123" s="1"/>
      <c r="B123" s="1"/>
      <c r="C123" s="1"/>
      <c r="D123" s="1"/>
      <c r="E123" s="1"/>
      <c r="F123" s="1"/>
      <c r="G123" s="1"/>
      <c r="H123" s="1"/>
      <c r="I123" s="1"/>
      <c r="J123" s="1"/>
      <c r="K123" s="1"/>
      <c r="L123" s="1"/>
      <c r="M123" s="1"/>
      <c r="N123" s="426"/>
      <c r="O123" s="426"/>
      <c r="P123" s="426"/>
      <c r="Q123" s="426"/>
    </row>
    <row r="124" spans="1:17" x14ac:dyDescent="0.2">
      <c r="A124" s="1"/>
      <c r="B124" s="82" t="s">
        <v>1033</v>
      </c>
      <c r="C124" s="318" t="s">
        <v>995</v>
      </c>
      <c r="D124" s="1"/>
      <c r="E124" s="1"/>
      <c r="F124" s="1"/>
      <c r="G124" s="1"/>
      <c r="H124" s="1"/>
      <c r="I124" s="1"/>
      <c r="J124" s="1"/>
      <c r="K124" s="1"/>
      <c r="L124" s="1"/>
      <c r="M124" s="1"/>
      <c r="N124" s="426"/>
      <c r="O124" s="426"/>
      <c r="P124" s="426"/>
      <c r="Q124" s="426"/>
    </row>
    <row r="125" spans="1:17" x14ac:dyDescent="0.2">
      <c r="A125" s="1"/>
      <c r="B125" s="1"/>
      <c r="C125" s="1"/>
      <c r="D125" s="1"/>
      <c r="E125" s="1"/>
      <c r="F125" s="1"/>
      <c r="G125" s="1"/>
      <c r="H125" s="1"/>
      <c r="I125" s="1"/>
      <c r="J125" s="1"/>
      <c r="K125" s="1"/>
      <c r="L125" s="1"/>
      <c r="M125" s="1"/>
      <c r="N125" s="426"/>
      <c r="O125" s="426"/>
      <c r="P125" s="426"/>
      <c r="Q125" s="426"/>
    </row>
    <row r="126" spans="1:17" x14ac:dyDescent="0.2">
      <c r="A126" s="14"/>
      <c r="B126" s="14"/>
      <c r="C126" s="14"/>
      <c r="D126" s="14"/>
      <c r="E126" s="14"/>
      <c r="F126" s="14"/>
      <c r="G126" s="14"/>
      <c r="H126" s="14"/>
      <c r="I126" s="14"/>
      <c r="J126" s="1"/>
      <c r="K126" s="1"/>
      <c r="L126" s="1"/>
      <c r="M126" s="1"/>
      <c r="N126" s="426"/>
      <c r="O126" s="426"/>
      <c r="P126" s="426"/>
      <c r="Q126" s="426"/>
    </row>
    <row r="127" spans="1:17" x14ac:dyDescent="0.2">
      <c r="A127" s="1"/>
      <c r="B127" s="1"/>
      <c r="C127" s="1"/>
      <c r="D127" s="1"/>
      <c r="E127" s="1"/>
      <c r="F127" s="1"/>
      <c r="G127" s="1"/>
      <c r="H127" s="1"/>
      <c r="I127" s="1"/>
      <c r="J127" s="1"/>
      <c r="K127" s="1"/>
      <c r="L127" s="1"/>
      <c r="M127" s="1"/>
      <c r="N127" s="426"/>
      <c r="O127" s="426"/>
      <c r="P127" s="426"/>
      <c r="Q127" s="426"/>
    </row>
    <row r="128" spans="1:17" ht="13.5" thickBot="1" x14ac:dyDescent="0.25">
      <c r="A128" s="1" t="s">
        <v>1034</v>
      </c>
      <c r="B128" s="67" t="s">
        <v>2506</v>
      </c>
      <c r="C128" s="1"/>
      <c r="D128" s="387" t="s">
        <v>1161</v>
      </c>
      <c r="E128" s="380" t="s">
        <v>2508</v>
      </c>
      <c r="F128" s="378"/>
      <c r="G128" s="40"/>
      <c r="H128" s="1"/>
      <c r="I128" s="1"/>
      <c r="J128" s="1"/>
      <c r="K128" s="1"/>
      <c r="L128" s="1"/>
      <c r="M128" s="1"/>
      <c r="N128" s="426"/>
      <c r="O128" s="426"/>
      <c r="P128" s="426"/>
      <c r="Q128" s="426"/>
    </row>
    <row r="129" spans="1:17" ht="13.5" thickTop="1" x14ac:dyDescent="0.2">
      <c r="A129" s="1"/>
      <c r="B129" s="67" t="s">
        <v>1160</v>
      </c>
      <c r="C129" s="1"/>
      <c r="D129" s="41" t="s">
        <v>1162</v>
      </c>
      <c r="E129" s="381" t="s">
        <v>1163</v>
      </c>
      <c r="F129" s="156" t="s">
        <v>1165</v>
      </c>
      <c r="G129" s="137" t="s">
        <v>1168</v>
      </c>
      <c r="H129" s="1"/>
      <c r="I129" s="1"/>
      <c r="J129" s="1"/>
      <c r="K129" s="1"/>
      <c r="L129" s="1"/>
      <c r="M129" s="1"/>
      <c r="N129" s="426"/>
      <c r="O129" s="426"/>
      <c r="P129" s="426"/>
      <c r="Q129" s="426"/>
    </row>
    <row r="130" spans="1:17" x14ac:dyDescent="0.2">
      <c r="A130" s="1"/>
      <c r="B130" s="1" t="s">
        <v>2507</v>
      </c>
      <c r="C130" s="1"/>
      <c r="D130" s="59"/>
      <c r="E130" s="382" t="s">
        <v>1164</v>
      </c>
      <c r="F130" s="55" t="s">
        <v>1166</v>
      </c>
      <c r="G130" s="135" t="s">
        <v>1167</v>
      </c>
      <c r="H130" s="1"/>
      <c r="I130" s="1"/>
      <c r="J130" s="1"/>
      <c r="K130" s="1"/>
      <c r="L130" s="1"/>
      <c r="M130" s="1"/>
      <c r="N130" s="426"/>
      <c r="O130" s="426"/>
      <c r="P130" s="426"/>
      <c r="Q130" s="426"/>
    </row>
    <row r="131" spans="1:17" x14ac:dyDescent="0.2">
      <c r="A131" s="1"/>
      <c r="B131" s="1" t="s">
        <v>1072</v>
      </c>
      <c r="C131" s="1"/>
      <c r="D131" s="379" t="s">
        <v>1175</v>
      </c>
      <c r="E131" s="386" t="s">
        <v>995</v>
      </c>
      <c r="F131" s="63" t="s">
        <v>1170</v>
      </c>
      <c r="G131" s="63" t="s">
        <v>1173</v>
      </c>
      <c r="H131" s="1"/>
      <c r="I131" s="1"/>
      <c r="J131" s="5" t="e">
        <f>SEARCH("teambuilding",E131)</f>
        <v>#VALUE!</v>
      </c>
      <c r="K131" s="1"/>
      <c r="L131" s="3"/>
      <c r="M131" s="1" t="s">
        <v>1169</v>
      </c>
      <c r="N131" s="426"/>
      <c r="O131" s="426"/>
      <c r="P131" s="426"/>
      <c r="Q131" s="426"/>
    </row>
    <row r="132" spans="1:17" x14ac:dyDescent="0.2">
      <c r="A132" s="1"/>
      <c r="B132" s="1"/>
      <c r="C132" s="1"/>
      <c r="D132" s="59"/>
      <c r="E132" s="382" t="str">
        <f>IF(C152="x",M131,"")</f>
        <v/>
      </c>
      <c r="F132" s="55" t="s">
        <v>1171</v>
      </c>
      <c r="G132" s="135" t="s">
        <v>1174</v>
      </c>
      <c r="H132" s="1"/>
      <c r="I132" s="1"/>
      <c r="J132" s="5">
        <f>ABS(ISERR(J131))</f>
        <v>1</v>
      </c>
      <c r="K132" s="5">
        <f>ABS(IF(J132=0,"1","0"))</f>
        <v>0</v>
      </c>
      <c r="L132" s="3">
        <v>1</v>
      </c>
      <c r="M132" s="1"/>
      <c r="N132" s="426"/>
      <c r="O132" s="426"/>
      <c r="P132" s="426"/>
      <c r="Q132" s="426"/>
    </row>
    <row r="133" spans="1:17" x14ac:dyDescent="0.2">
      <c r="A133" s="1"/>
      <c r="B133" s="1"/>
      <c r="C133" s="1"/>
      <c r="D133" s="59"/>
      <c r="E133" s="382"/>
      <c r="F133" s="55" t="s">
        <v>1172</v>
      </c>
      <c r="G133" s="135"/>
      <c r="H133" s="1"/>
      <c r="I133" s="1"/>
      <c r="J133" s="1"/>
      <c r="K133" s="1"/>
      <c r="L133" s="1"/>
      <c r="M133" s="1"/>
      <c r="N133" s="426"/>
      <c r="O133" s="426"/>
      <c r="P133" s="426"/>
      <c r="Q133" s="426"/>
    </row>
    <row r="134" spans="1:17" x14ac:dyDescent="0.2">
      <c r="A134" s="1"/>
      <c r="B134" s="1"/>
      <c r="C134" s="1"/>
      <c r="D134" s="62" t="s">
        <v>1176</v>
      </c>
      <c r="E134" s="383" t="s">
        <v>1177</v>
      </c>
      <c r="F134" s="54" t="s">
        <v>1177</v>
      </c>
      <c r="G134" s="63" t="s">
        <v>1177</v>
      </c>
      <c r="H134" s="1"/>
      <c r="I134" s="1"/>
      <c r="J134" s="5" t="e">
        <f>SEARCH("organisatie",G136)</f>
        <v>#VALUE!</v>
      </c>
      <c r="K134" s="1"/>
      <c r="L134" s="3"/>
      <c r="M134" s="1"/>
      <c r="N134" s="426"/>
      <c r="O134" s="426"/>
      <c r="P134" s="426"/>
      <c r="Q134" s="426"/>
    </row>
    <row r="135" spans="1:17" x14ac:dyDescent="0.2">
      <c r="A135" s="1"/>
      <c r="B135" s="1"/>
      <c r="C135" s="1"/>
      <c r="D135" s="59"/>
      <c r="E135" s="382" t="s">
        <v>1178</v>
      </c>
      <c r="F135" s="55" t="s">
        <v>1179</v>
      </c>
      <c r="G135" s="135" t="s">
        <v>1181</v>
      </c>
      <c r="H135" s="1"/>
      <c r="I135" s="1"/>
      <c r="J135" s="5">
        <f>ABS(ISERR(J134))</f>
        <v>1</v>
      </c>
      <c r="K135" s="5">
        <f>ABS(IF(J135=0,"1","0"))</f>
        <v>0</v>
      </c>
      <c r="L135" s="3">
        <v>1</v>
      </c>
      <c r="M135" s="1" t="s">
        <v>1286</v>
      </c>
      <c r="N135" s="426"/>
      <c r="O135" s="426"/>
      <c r="P135" s="426"/>
      <c r="Q135" s="426"/>
    </row>
    <row r="136" spans="1:17" x14ac:dyDescent="0.2">
      <c r="A136" s="1"/>
      <c r="B136" s="1"/>
      <c r="C136" s="1"/>
      <c r="D136" s="59"/>
      <c r="E136" s="382"/>
      <c r="F136" s="59" t="s">
        <v>1180</v>
      </c>
      <c r="G136" s="7" t="s">
        <v>995</v>
      </c>
      <c r="H136" s="1" t="str">
        <f>IF(C152="x",M135,"")</f>
        <v/>
      </c>
      <c r="I136" s="1"/>
      <c r="J136" s="1"/>
      <c r="K136" s="1"/>
      <c r="L136" s="1"/>
      <c r="M136" s="1"/>
      <c r="N136" s="426"/>
      <c r="O136" s="426"/>
      <c r="P136" s="426"/>
      <c r="Q136" s="426"/>
    </row>
    <row r="137" spans="1:17" x14ac:dyDescent="0.2">
      <c r="A137" s="1"/>
      <c r="B137" s="1"/>
      <c r="C137" s="1"/>
      <c r="D137" s="62" t="s">
        <v>2509</v>
      </c>
      <c r="E137" s="386" t="s">
        <v>995</v>
      </c>
      <c r="F137" s="63" t="s">
        <v>1182</v>
      </c>
      <c r="G137" s="135" t="s">
        <v>1183</v>
      </c>
      <c r="H137" s="1"/>
      <c r="I137" s="1"/>
      <c r="J137" s="5" t="e">
        <f>SEARCH("project",E137)</f>
        <v>#VALUE!</v>
      </c>
      <c r="K137" s="1"/>
      <c r="L137" s="3"/>
      <c r="M137" s="1" t="s">
        <v>1287</v>
      </c>
      <c r="N137" s="426"/>
      <c r="O137" s="426"/>
      <c r="P137" s="426"/>
      <c r="Q137" s="426"/>
    </row>
    <row r="138" spans="1:17" x14ac:dyDescent="0.2">
      <c r="A138" s="1"/>
      <c r="B138" s="1"/>
      <c r="C138" s="1"/>
      <c r="D138" s="59"/>
      <c r="E138" s="382" t="str">
        <f>IF(C152="x",M137,"")</f>
        <v/>
      </c>
      <c r="F138" s="55"/>
      <c r="G138" s="135" t="s">
        <v>1184</v>
      </c>
      <c r="H138" s="1"/>
      <c r="I138" s="1"/>
      <c r="J138" s="5">
        <f>ABS(ISERR(J137))</f>
        <v>1</v>
      </c>
      <c r="K138" s="5">
        <f>ABS(IF(J138=0,"1","0"))</f>
        <v>0</v>
      </c>
      <c r="L138" s="3">
        <v>1</v>
      </c>
      <c r="M138" s="1"/>
      <c r="N138" s="426"/>
      <c r="O138" s="426"/>
      <c r="P138" s="426"/>
      <c r="Q138" s="426"/>
    </row>
    <row r="139" spans="1:17" x14ac:dyDescent="0.2">
      <c r="A139" s="1"/>
      <c r="B139" s="1"/>
      <c r="C139" s="1"/>
      <c r="D139" s="386" t="s">
        <v>995</v>
      </c>
      <c r="E139" s="94" t="s">
        <v>1185</v>
      </c>
      <c r="F139" s="54" t="s">
        <v>1188</v>
      </c>
      <c r="G139" s="63" t="s">
        <v>1165</v>
      </c>
      <c r="H139" s="1"/>
      <c r="I139" s="1"/>
      <c r="J139" s="5" t="e">
        <f>SEARCH("bestuurder",D139)</f>
        <v>#VALUE!</v>
      </c>
      <c r="K139" s="1"/>
      <c r="L139" s="3"/>
      <c r="M139" s="1" t="s">
        <v>1288</v>
      </c>
      <c r="N139" s="426"/>
      <c r="O139" s="426"/>
      <c r="P139" s="426"/>
      <c r="Q139" s="426"/>
    </row>
    <row r="140" spans="1:17" x14ac:dyDescent="0.2">
      <c r="A140" s="1"/>
      <c r="B140" s="1"/>
      <c r="C140" s="1"/>
      <c r="D140" s="59" t="str">
        <f>IF(C152="x",M139,"")</f>
        <v/>
      </c>
      <c r="E140" s="382" t="s">
        <v>1186</v>
      </c>
      <c r="F140" s="55" t="s">
        <v>1189</v>
      </c>
      <c r="G140" s="135" t="s">
        <v>1190</v>
      </c>
      <c r="H140" s="1"/>
      <c r="I140" s="1"/>
      <c r="J140" s="5">
        <f>ABS(ISERR(J139))</f>
        <v>1</v>
      </c>
      <c r="K140" s="5">
        <f>ABS(IF(J140=0,"1","0"))</f>
        <v>0</v>
      </c>
      <c r="L140" s="3">
        <v>1</v>
      </c>
      <c r="M140" s="1"/>
      <c r="N140" s="426"/>
      <c r="O140" s="426"/>
      <c r="P140" s="426"/>
      <c r="Q140" s="426"/>
    </row>
    <row r="141" spans="1:17" x14ac:dyDescent="0.2">
      <c r="A141" s="1"/>
      <c r="B141" s="1"/>
      <c r="C141" s="1"/>
      <c r="D141" s="59"/>
      <c r="E141" s="382" t="s">
        <v>1187</v>
      </c>
      <c r="F141" s="55"/>
      <c r="G141" s="135"/>
      <c r="H141" s="1"/>
      <c r="I141" s="1"/>
      <c r="J141" s="1"/>
      <c r="K141" s="1"/>
      <c r="L141" s="1"/>
      <c r="M141" s="1"/>
      <c r="N141" s="426"/>
      <c r="O141" s="426"/>
      <c r="P141" s="426"/>
      <c r="Q141" s="426"/>
    </row>
    <row r="142" spans="1:17" x14ac:dyDescent="0.2">
      <c r="A142" s="1"/>
      <c r="B142" s="1"/>
      <c r="C142" s="1"/>
      <c r="D142" s="386" t="s">
        <v>995</v>
      </c>
      <c r="E142" s="94" t="s">
        <v>1191</v>
      </c>
      <c r="F142" s="54" t="s">
        <v>1269</v>
      </c>
      <c r="G142" s="63" t="s">
        <v>1272</v>
      </c>
      <c r="H142" s="1"/>
      <c r="I142" s="1"/>
      <c r="J142" s="5" t="e">
        <f>SEARCH("producent",D142)</f>
        <v>#VALUE!</v>
      </c>
      <c r="K142" s="1"/>
      <c r="L142" s="3"/>
      <c r="M142" s="1" t="s">
        <v>1289</v>
      </c>
      <c r="N142" s="426"/>
      <c r="O142" s="426"/>
      <c r="P142" s="426"/>
      <c r="Q142" s="426"/>
    </row>
    <row r="143" spans="1:17" x14ac:dyDescent="0.2">
      <c r="A143" s="1"/>
      <c r="B143" s="1"/>
      <c r="C143" s="1"/>
      <c r="D143" s="59" t="str">
        <f>IF(C152="x",M142,"")</f>
        <v/>
      </c>
      <c r="E143" s="382"/>
      <c r="F143" s="55" t="s">
        <v>1270</v>
      </c>
      <c r="G143" s="135" t="s">
        <v>1184</v>
      </c>
      <c r="H143" s="1"/>
      <c r="I143" s="1"/>
      <c r="J143" s="5">
        <f>ABS(ISERR(J142))</f>
        <v>1</v>
      </c>
      <c r="K143" s="5">
        <f>ABS(IF(J143=0,"1","0"))</f>
        <v>0</v>
      </c>
      <c r="L143" s="3">
        <v>1</v>
      </c>
      <c r="M143" s="1"/>
      <c r="N143" s="426"/>
      <c r="O143" s="426"/>
      <c r="P143" s="426"/>
      <c r="Q143" s="426"/>
    </row>
    <row r="144" spans="1:17" x14ac:dyDescent="0.2">
      <c r="A144" s="1"/>
      <c r="B144" s="1"/>
      <c r="C144" s="1"/>
      <c r="D144" s="59"/>
      <c r="E144" s="382"/>
      <c r="F144" s="55" t="s">
        <v>1271</v>
      </c>
      <c r="G144" s="135"/>
      <c r="H144" s="1"/>
      <c r="I144" s="1"/>
      <c r="J144" s="1"/>
      <c r="K144" s="1"/>
      <c r="L144" s="1"/>
      <c r="M144" s="1"/>
      <c r="N144" s="426"/>
      <c r="O144" s="426"/>
      <c r="P144" s="426"/>
      <c r="Q144" s="426"/>
    </row>
    <row r="145" spans="1:17" x14ac:dyDescent="0.2">
      <c r="A145" s="1"/>
      <c r="B145" s="1"/>
      <c r="C145" s="1"/>
      <c r="D145" s="62" t="s">
        <v>1273</v>
      </c>
      <c r="E145" s="383" t="s">
        <v>1274</v>
      </c>
      <c r="F145" s="54" t="s">
        <v>1277</v>
      </c>
      <c r="G145" s="63" t="s">
        <v>2510</v>
      </c>
      <c r="H145" s="1"/>
      <c r="I145" s="1"/>
      <c r="J145" s="1"/>
      <c r="K145" s="1"/>
      <c r="L145" s="1"/>
      <c r="M145" s="1"/>
      <c r="N145" s="426"/>
      <c r="O145" s="426"/>
      <c r="P145" s="426"/>
      <c r="Q145" s="426"/>
    </row>
    <row r="146" spans="1:17" x14ac:dyDescent="0.2">
      <c r="A146" s="1"/>
      <c r="B146" s="1"/>
      <c r="C146" s="1"/>
      <c r="D146" s="59"/>
      <c r="E146" s="382" t="s">
        <v>1275</v>
      </c>
      <c r="F146" s="55" t="s">
        <v>1278</v>
      </c>
      <c r="G146" s="135" t="s">
        <v>1280</v>
      </c>
      <c r="H146" s="1"/>
      <c r="I146" s="1"/>
      <c r="J146" s="1"/>
      <c r="K146" s="1"/>
      <c r="L146" s="1"/>
      <c r="M146" s="1"/>
      <c r="N146" s="426"/>
      <c r="O146" s="426"/>
      <c r="P146" s="426"/>
      <c r="Q146" s="426"/>
    </row>
    <row r="147" spans="1:17" x14ac:dyDescent="0.2">
      <c r="A147" s="1"/>
      <c r="B147" s="1"/>
      <c r="C147" s="1"/>
      <c r="D147" s="59"/>
      <c r="E147" s="382" t="s">
        <v>1276</v>
      </c>
      <c r="F147" s="55" t="s">
        <v>1279</v>
      </c>
      <c r="G147" s="135"/>
      <c r="H147" s="1"/>
      <c r="I147" s="1"/>
      <c r="J147" s="1"/>
      <c r="K147" s="1"/>
      <c r="L147" s="1"/>
      <c r="M147" s="1"/>
      <c r="N147" s="426"/>
      <c r="O147" s="426"/>
      <c r="P147" s="426"/>
      <c r="Q147" s="426"/>
    </row>
    <row r="148" spans="1:17" x14ac:dyDescent="0.2">
      <c r="A148" s="1"/>
      <c r="B148" s="1"/>
      <c r="C148" s="1"/>
      <c r="D148" s="62" t="s">
        <v>1281</v>
      </c>
      <c r="E148" s="383" t="s">
        <v>1282</v>
      </c>
      <c r="F148" s="386" t="s">
        <v>995</v>
      </c>
      <c r="G148" s="63" t="s">
        <v>1284</v>
      </c>
      <c r="H148" s="1"/>
      <c r="I148" s="1"/>
      <c r="J148" s="5" t="e">
        <f>SEARCH("creatief",F148)</f>
        <v>#VALUE!</v>
      </c>
      <c r="K148" s="1"/>
      <c r="L148" s="3"/>
      <c r="M148" s="1" t="s">
        <v>1290</v>
      </c>
      <c r="N148" s="426"/>
      <c r="O148" s="426"/>
      <c r="P148" s="426"/>
      <c r="Q148" s="426"/>
    </row>
    <row r="149" spans="1:17" x14ac:dyDescent="0.2">
      <c r="A149" s="1"/>
      <c r="B149" s="1"/>
      <c r="C149" s="1"/>
      <c r="D149" s="129"/>
      <c r="E149" s="384" t="s">
        <v>1283</v>
      </c>
      <c r="F149" s="28" t="str">
        <f>IF(C152="x",M148,"")</f>
        <v/>
      </c>
      <c r="G149" s="157" t="s">
        <v>1285</v>
      </c>
      <c r="H149" s="1"/>
      <c r="I149" s="1"/>
      <c r="J149" s="5">
        <f>ABS(ISERR(J148))</f>
        <v>1</v>
      </c>
      <c r="K149" s="5">
        <f>ABS(IF(J149=0,"1","0"))</f>
        <v>0</v>
      </c>
      <c r="L149" s="3">
        <v>1</v>
      </c>
      <c r="M149" s="1"/>
      <c r="N149" s="426"/>
      <c r="O149" s="426"/>
      <c r="P149" s="426"/>
      <c r="Q149" s="426"/>
    </row>
    <row r="150" spans="1:17" x14ac:dyDescent="0.2">
      <c r="A150" s="1"/>
      <c r="B150" s="1"/>
      <c r="C150" s="1"/>
      <c r="D150" s="1"/>
      <c r="E150" s="1"/>
      <c r="F150" s="1"/>
      <c r="G150" s="1"/>
      <c r="H150" s="1"/>
      <c r="I150" s="1"/>
      <c r="J150" s="1"/>
      <c r="K150" s="1"/>
      <c r="L150" s="1"/>
      <c r="M150" s="1"/>
      <c r="N150" s="426"/>
      <c r="O150" s="426"/>
      <c r="P150" s="426"/>
      <c r="Q150" s="426"/>
    </row>
    <row r="151" spans="1:17" x14ac:dyDescent="0.2">
      <c r="A151" s="1"/>
      <c r="B151" s="1"/>
      <c r="C151" s="1"/>
      <c r="D151" s="1"/>
      <c r="E151" s="1"/>
      <c r="F151" s="1"/>
      <c r="G151" s="1"/>
      <c r="H151" s="1"/>
      <c r="I151" s="1"/>
      <c r="J151" s="1"/>
      <c r="K151" s="1"/>
      <c r="L151" s="1"/>
      <c r="M151" s="1"/>
      <c r="N151" s="426"/>
      <c r="O151" s="426"/>
      <c r="P151" s="426"/>
      <c r="Q151" s="426"/>
    </row>
    <row r="152" spans="1:17" x14ac:dyDescent="0.2">
      <c r="A152" s="1"/>
      <c r="B152" s="82" t="s">
        <v>1033</v>
      </c>
      <c r="C152" s="318" t="s">
        <v>995</v>
      </c>
      <c r="D152" s="1"/>
      <c r="E152" s="1"/>
      <c r="F152" s="1"/>
      <c r="G152" s="1"/>
      <c r="H152" s="1"/>
      <c r="I152" s="1"/>
      <c r="J152" s="1"/>
      <c r="K152" s="1"/>
      <c r="L152" s="1"/>
      <c r="M152" s="1"/>
      <c r="N152" s="426"/>
      <c r="O152" s="426"/>
      <c r="P152" s="426"/>
      <c r="Q152" s="426"/>
    </row>
    <row r="153" spans="1:17" x14ac:dyDescent="0.2">
      <c r="A153" s="1"/>
      <c r="B153" s="1"/>
      <c r="C153" s="1"/>
      <c r="D153" s="1"/>
      <c r="E153" s="1"/>
      <c r="F153" s="1"/>
      <c r="G153" s="1"/>
      <c r="H153" s="1"/>
      <c r="I153" s="1"/>
      <c r="J153" s="1"/>
      <c r="K153" s="1"/>
      <c r="L153" s="1"/>
      <c r="M153" s="1"/>
      <c r="N153" s="426"/>
      <c r="O153" s="426"/>
      <c r="P153" s="426"/>
      <c r="Q153" s="426"/>
    </row>
    <row r="154" spans="1:17" x14ac:dyDescent="0.2">
      <c r="A154" s="14"/>
      <c r="B154" s="14"/>
      <c r="C154" s="14"/>
      <c r="D154" s="14"/>
      <c r="E154" s="14"/>
      <c r="F154" s="14"/>
      <c r="G154" s="14"/>
      <c r="H154" s="14"/>
      <c r="I154" s="14"/>
      <c r="J154" s="1"/>
      <c r="K154" s="1"/>
      <c r="L154" s="1"/>
      <c r="M154" s="1"/>
      <c r="N154" s="426"/>
      <c r="O154" s="426"/>
      <c r="P154" s="426"/>
      <c r="Q154" s="426"/>
    </row>
    <row r="155" spans="1:17" x14ac:dyDescent="0.2">
      <c r="A155" s="1"/>
      <c r="B155" s="1"/>
      <c r="C155" s="1"/>
      <c r="D155" s="1"/>
      <c r="E155" s="1"/>
      <c r="F155" s="1"/>
      <c r="G155" s="1"/>
      <c r="H155" s="1"/>
      <c r="I155" s="1"/>
      <c r="J155" s="5" t="e">
        <f>SEARCH("consideratie",E157)</f>
        <v>#VALUE!</v>
      </c>
      <c r="K155" s="1"/>
      <c r="L155" s="3"/>
      <c r="M155" s="1"/>
      <c r="N155" s="426"/>
      <c r="O155" s="426"/>
      <c r="P155" s="426"/>
      <c r="Q155" s="426"/>
    </row>
    <row r="156" spans="1:17" ht="13.5" thickBot="1" x14ac:dyDescent="0.25">
      <c r="A156" s="1" t="s">
        <v>1038</v>
      </c>
      <c r="B156" s="1" t="s">
        <v>2513</v>
      </c>
      <c r="C156" s="388" t="s">
        <v>1292</v>
      </c>
      <c r="D156" s="94" t="s">
        <v>2511</v>
      </c>
      <c r="E156" s="94"/>
      <c r="F156" s="94"/>
      <c r="G156" s="94"/>
      <c r="H156" s="63"/>
      <c r="I156" s="1"/>
      <c r="J156" s="5">
        <f>ABS(ISERR(J155))</f>
        <v>1</v>
      </c>
      <c r="K156" s="5">
        <f>ABS(IF(J156=0,"1","0"))</f>
        <v>0</v>
      </c>
      <c r="L156" s="3">
        <v>1</v>
      </c>
      <c r="M156" s="1" t="s">
        <v>1296</v>
      </c>
      <c r="N156" s="426"/>
      <c r="O156" s="426"/>
      <c r="P156" s="426"/>
      <c r="Q156" s="426"/>
    </row>
    <row r="157" spans="1:17" ht="13.5" thickTop="1" x14ac:dyDescent="0.2">
      <c r="A157" s="1"/>
      <c r="B157" s="1" t="s">
        <v>2514</v>
      </c>
      <c r="C157" s="389" t="s">
        <v>1293</v>
      </c>
      <c r="D157" s="137" t="s">
        <v>1295</v>
      </c>
      <c r="E157" s="386" t="s">
        <v>995</v>
      </c>
      <c r="F157" s="156"/>
      <c r="G157" s="156"/>
      <c r="H157" s="137"/>
      <c r="I157" s="1"/>
      <c r="J157" s="5" t="e">
        <f>SEARCH("participatie",F161)</f>
        <v>#VALUE!</v>
      </c>
      <c r="K157" s="1"/>
      <c r="L157" s="3"/>
      <c r="M157" s="1"/>
      <c r="N157" s="426"/>
      <c r="O157" s="426"/>
      <c r="P157" s="426"/>
      <c r="Q157" s="426"/>
    </row>
    <row r="158" spans="1:17" x14ac:dyDescent="0.2">
      <c r="A158" s="1"/>
      <c r="B158" s="1" t="s">
        <v>1291</v>
      </c>
      <c r="C158" s="390" t="s">
        <v>1294</v>
      </c>
      <c r="D158" s="135"/>
      <c r="E158" s="55" t="s">
        <v>995</v>
      </c>
      <c r="F158" s="55"/>
      <c r="G158" s="55"/>
      <c r="H158" s="135"/>
      <c r="I158" s="1"/>
      <c r="J158" s="5">
        <f>ABS(ISERR(J157))</f>
        <v>1</v>
      </c>
      <c r="K158" s="5">
        <f>ABS(IF(J158=0,"1","0"))</f>
        <v>0</v>
      </c>
      <c r="L158" s="3">
        <v>1</v>
      </c>
      <c r="M158" s="1" t="s">
        <v>1304</v>
      </c>
      <c r="N158" s="426"/>
      <c r="O158" s="426"/>
      <c r="P158" s="426"/>
      <c r="Q158" s="426"/>
    </row>
    <row r="159" spans="1:17" x14ac:dyDescent="0.2">
      <c r="A159" s="1"/>
      <c r="B159" s="1" t="s">
        <v>2515</v>
      </c>
      <c r="C159" s="388" t="s">
        <v>1297</v>
      </c>
      <c r="D159" s="63" t="s">
        <v>1298</v>
      </c>
      <c r="E159" s="54" t="s">
        <v>1300</v>
      </c>
      <c r="F159" s="54"/>
      <c r="G159" s="54"/>
      <c r="H159" s="63"/>
      <c r="I159" s="1"/>
      <c r="J159" s="5" t="e">
        <f>SEARCH("control",H162)</f>
        <v>#VALUE!</v>
      </c>
      <c r="K159" s="1"/>
      <c r="L159" s="3"/>
      <c r="M159" s="1"/>
      <c r="N159" s="426"/>
      <c r="O159" s="426"/>
      <c r="P159" s="426"/>
      <c r="Q159" s="426"/>
    </row>
    <row r="160" spans="1:17" x14ac:dyDescent="0.2">
      <c r="A160" s="1"/>
      <c r="B160" s="1"/>
      <c r="C160" s="390" t="s">
        <v>1294</v>
      </c>
      <c r="D160" s="135" t="s">
        <v>1299</v>
      </c>
      <c r="E160" s="55" t="s">
        <v>1299</v>
      </c>
      <c r="F160" s="55"/>
      <c r="G160" s="55"/>
      <c r="H160" s="135"/>
      <c r="I160" s="1"/>
      <c r="J160" s="5">
        <f>ABS(ISERR(J159))</f>
        <v>1</v>
      </c>
      <c r="K160" s="5">
        <f>ABS(IF(J160=0,"1","0"))</f>
        <v>0</v>
      </c>
      <c r="L160" s="3">
        <v>1</v>
      </c>
      <c r="M160" s="1" t="s">
        <v>1313</v>
      </c>
      <c r="N160" s="426"/>
      <c r="O160" s="426"/>
      <c r="P160" s="426"/>
      <c r="Q160" s="426"/>
    </row>
    <row r="161" spans="1:17" x14ac:dyDescent="0.2">
      <c r="A161" s="1"/>
      <c r="B161" s="1"/>
      <c r="C161" s="388" t="s">
        <v>1301</v>
      </c>
      <c r="D161" s="63" t="s">
        <v>1302</v>
      </c>
      <c r="E161" s="54" t="s">
        <v>1303</v>
      </c>
      <c r="F161" s="386" t="s">
        <v>995</v>
      </c>
      <c r="G161" s="54"/>
      <c r="H161" s="63"/>
      <c r="I161" s="1"/>
      <c r="J161" s="5" t="e">
        <f>SEARCH("linking",D166)</f>
        <v>#VALUE!</v>
      </c>
      <c r="K161" s="1"/>
      <c r="L161" s="3"/>
      <c r="M161" s="1"/>
      <c r="N161" s="426"/>
      <c r="O161" s="426"/>
      <c r="P161" s="426"/>
      <c r="Q161" s="426"/>
    </row>
    <row r="162" spans="1:17" x14ac:dyDescent="0.2">
      <c r="A162" s="1"/>
      <c r="B162" s="1"/>
      <c r="C162" s="513" t="s">
        <v>1305</v>
      </c>
      <c r="D162" s="63" t="s">
        <v>1306</v>
      </c>
      <c r="E162" s="54" t="s">
        <v>1308</v>
      </c>
      <c r="F162" s="54" t="s">
        <v>1310</v>
      </c>
      <c r="G162" s="54" t="s">
        <v>1312</v>
      </c>
      <c r="H162" s="386" t="s">
        <v>995</v>
      </c>
      <c r="I162" s="1"/>
      <c r="J162" s="5">
        <f>ABS(ISERR(J161))</f>
        <v>1</v>
      </c>
      <c r="K162" s="5">
        <f>ABS(IF(J162=0,"1","0"))</f>
        <v>0</v>
      </c>
      <c r="L162" s="3">
        <v>1</v>
      </c>
      <c r="M162" s="1" t="s">
        <v>1322</v>
      </c>
      <c r="N162" s="426"/>
      <c r="O162" s="426"/>
      <c r="P162" s="426"/>
      <c r="Q162" s="426"/>
    </row>
    <row r="163" spans="1:17" x14ac:dyDescent="0.2">
      <c r="A163" s="1"/>
      <c r="B163" s="1"/>
      <c r="C163" s="390"/>
      <c r="D163" s="135" t="s">
        <v>1307</v>
      </c>
      <c r="E163" s="55" t="s">
        <v>1309</v>
      </c>
      <c r="F163" s="55" t="s">
        <v>1311</v>
      </c>
      <c r="G163" s="55" t="s">
        <v>2512</v>
      </c>
      <c r="H163" s="135" t="s">
        <v>995</v>
      </c>
      <c r="I163" s="1"/>
      <c r="J163" s="5" t="e">
        <f>SEARCH("toewijding",G171)</f>
        <v>#VALUE!</v>
      </c>
      <c r="K163" s="1"/>
      <c r="L163" s="3"/>
      <c r="M163" s="1"/>
      <c r="N163" s="426"/>
      <c r="O163" s="426"/>
      <c r="P163" s="426"/>
      <c r="Q163" s="426"/>
    </row>
    <row r="164" spans="1:17" x14ac:dyDescent="0.2">
      <c r="A164" s="1"/>
      <c r="B164" s="1"/>
      <c r="C164" s="388" t="s">
        <v>1314</v>
      </c>
      <c r="D164" s="63" t="s">
        <v>1315</v>
      </c>
      <c r="E164" s="54" t="s">
        <v>1316</v>
      </c>
      <c r="F164" s="54"/>
      <c r="G164" s="54"/>
      <c r="H164" s="63"/>
      <c r="I164" s="1"/>
      <c r="J164" s="5">
        <f>ABS(ISERR(J163))</f>
        <v>1</v>
      </c>
      <c r="K164" s="5">
        <f>ABS(IF(J164=0,"1","0"))</f>
        <v>0</v>
      </c>
      <c r="L164" s="3">
        <v>1</v>
      </c>
      <c r="M164" s="1" t="s">
        <v>1340</v>
      </c>
      <c r="N164" s="426"/>
      <c r="O164" s="426"/>
      <c r="P164" s="426"/>
      <c r="Q164" s="426"/>
    </row>
    <row r="165" spans="1:17" x14ac:dyDescent="0.2">
      <c r="A165" s="1"/>
      <c r="B165" s="1"/>
      <c r="C165" s="409" t="s">
        <v>1317</v>
      </c>
      <c r="D165" s="63" t="s">
        <v>1318</v>
      </c>
      <c r="E165" s="54" t="s">
        <v>1319</v>
      </c>
      <c r="F165" s="54" t="s">
        <v>1320</v>
      </c>
      <c r="G165" s="54" t="s">
        <v>1321</v>
      </c>
      <c r="H165" s="63" t="s">
        <v>1374</v>
      </c>
      <c r="I165" s="1"/>
      <c r="J165" s="5" t="e">
        <f>SEARCH("delegeren",F172)</f>
        <v>#VALUE!</v>
      </c>
      <c r="K165" s="1"/>
      <c r="L165" s="3"/>
      <c r="M165" s="1"/>
      <c r="N165" s="426"/>
      <c r="O165" s="426"/>
      <c r="P165" s="426"/>
      <c r="Q165" s="426"/>
    </row>
    <row r="166" spans="1:17" x14ac:dyDescent="0.2">
      <c r="A166" s="1"/>
      <c r="B166" s="1"/>
      <c r="C166" s="513" t="s">
        <v>1317</v>
      </c>
      <c r="D166" s="393" t="s">
        <v>995</v>
      </c>
      <c r="E166" s="54" t="s">
        <v>1376</v>
      </c>
      <c r="F166" s="54" t="s">
        <v>1323</v>
      </c>
      <c r="G166" s="54"/>
      <c r="H166" s="63"/>
      <c r="I166" s="1"/>
      <c r="J166" s="5">
        <f>ABS(ISERR(J165))</f>
        <v>1</v>
      </c>
      <c r="K166" s="5">
        <f>ABS(IF(J166=0,"1","0"))</f>
        <v>0</v>
      </c>
      <c r="L166" s="3">
        <v>1</v>
      </c>
      <c r="M166" s="1" t="s">
        <v>1345</v>
      </c>
      <c r="N166" s="426"/>
      <c r="O166" s="426"/>
      <c r="P166" s="426"/>
      <c r="Q166" s="426"/>
    </row>
    <row r="167" spans="1:17" x14ac:dyDescent="0.2">
      <c r="A167" s="1"/>
      <c r="B167" s="1"/>
      <c r="C167" s="388" t="s">
        <v>1324</v>
      </c>
      <c r="D167" s="63" t="s">
        <v>1325</v>
      </c>
      <c r="E167" s="54" t="s">
        <v>1327</v>
      </c>
      <c r="F167" s="54" t="s">
        <v>1329</v>
      </c>
      <c r="G167" s="483" t="s">
        <v>2730</v>
      </c>
      <c r="H167" s="63" t="s">
        <v>1333</v>
      </c>
      <c r="I167" s="1"/>
      <c r="J167" s="5" t="e">
        <f>SEARCH("taakgericht",E174)</f>
        <v>#VALUE!</v>
      </c>
      <c r="K167" s="1"/>
      <c r="L167" s="3"/>
      <c r="M167" s="1"/>
      <c r="N167" s="426"/>
      <c r="O167" s="426"/>
      <c r="P167" s="426"/>
      <c r="Q167" s="426"/>
    </row>
    <row r="168" spans="1:17" x14ac:dyDescent="0.2">
      <c r="A168" s="1"/>
      <c r="B168" s="1"/>
      <c r="C168" s="390"/>
      <c r="D168" s="135" t="s">
        <v>1326</v>
      </c>
      <c r="E168" s="55" t="s">
        <v>1328</v>
      </c>
      <c r="F168" s="55" t="s">
        <v>1330</v>
      </c>
      <c r="G168" s="55" t="s">
        <v>1332</v>
      </c>
      <c r="H168" s="135" t="s">
        <v>1334</v>
      </c>
      <c r="I168" s="1"/>
      <c r="J168" s="5">
        <f>ABS(ISERR(J167))</f>
        <v>1</v>
      </c>
      <c r="K168" s="5">
        <f>ABS(IF(J168=0,"1","0"))</f>
        <v>0</v>
      </c>
      <c r="L168" s="3">
        <v>1</v>
      </c>
      <c r="M168" s="1" t="s">
        <v>1349</v>
      </c>
      <c r="N168" s="426"/>
      <c r="O168" s="426"/>
      <c r="P168" s="426"/>
      <c r="Q168" s="426"/>
    </row>
    <row r="169" spans="1:17" x14ac:dyDescent="0.2">
      <c r="A169" s="1"/>
      <c r="B169" s="1"/>
      <c r="C169" s="390"/>
      <c r="D169" s="135" t="s">
        <v>1184</v>
      </c>
      <c r="E169" s="64" t="s">
        <v>1184</v>
      </c>
      <c r="F169" s="55" t="s">
        <v>1331</v>
      </c>
      <c r="G169" s="55" t="s">
        <v>1184</v>
      </c>
      <c r="H169" s="135" t="s">
        <v>1335</v>
      </c>
      <c r="I169" s="1"/>
      <c r="J169" s="5" t="e">
        <f>SEARCH("beheerder",G178)</f>
        <v>#VALUE!</v>
      </c>
      <c r="K169" s="1"/>
      <c r="L169" s="3"/>
      <c r="M169" s="1"/>
      <c r="N169" s="426"/>
      <c r="O169" s="426"/>
      <c r="P169" s="426"/>
      <c r="Q169" s="426"/>
    </row>
    <row r="170" spans="1:17" x14ac:dyDescent="0.2">
      <c r="A170" s="1"/>
      <c r="B170" s="1"/>
      <c r="C170" s="390"/>
      <c r="D170" s="135"/>
      <c r="E170" s="55"/>
      <c r="F170" s="55" t="s">
        <v>1184</v>
      </c>
      <c r="G170" s="55"/>
      <c r="H170" s="135"/>
      <c r="I170" s="1"/>
      <c r="J170" s="5">
        <f>ABS(ISERR(J169))</f>
        <v>1</v>
      </c>
      <c r="K170" s="5">
        <f>ABS(IF(J170=0,"1","0"))</f>
        <v>0</v>
      </c>
      <c r="L170" s="3">
        <v>1</v>
      </c>
      <c r="M170" s="1" t="s">
        <v>1369</v>
      </c>
      <c r="N170" s="426"/>
      <c r="O170" s="426"/>
      <c r="P170" s="426"/>
      <c r="Q170" s="426"/>
    </row>
    <row r="171" spans="1:17" x14ac:dyDescent="0.2">
      <c r="A171" s="1"/>
      <c r="B171" s="1"/>
      <c r="C171" s="388" t="s">
        <v>1336</v>
      </c>
      <c r="D171" s="63" t="s">
        <v>1337</v>
      </c>
      <c r="E171" s="54" t="s">
        <v>1338</v>
      </c>
      <c r="F171" s="54" t="s">
        <v>1339</v>
      </c>
      <c r="G171" s="385" t="s">
        <v>995</v>
      </c>
      <c r="H171" s="63"/>
      <c r="I171" s="1"/>
      <c r="J171" s="5" t="e">
        <f>SEARCH("transact",D182)</f>
        <v>#VALUE!</v>
      </c>
      <c r="K171" s="1"/>
      <c r="L171" s="3"/>
      <c r="M171" s="1"/>
      <c r="N171" s="426"/>
      <c r="O171" s="426"/>
      <c r="P171" s="426"/>
      <c r="Q171" s="426"/>
    </row>
    <row r="172" spans="1:17" x14ac:dyDescent="0.2">
      <c r="A172" s="1"/>
      <c r="B172" s="1"/>
      <c r="C172" s="513" t="s">
        <v>1341</v>
      </c>
      <c r="D172" s="63" t="s">
        <v>1343</v>
      </c>
      <c r="E172" s="54" t="s">
        <v>1344</v>
      </c>
      <c r="F172" s="386" t="s">
        <v>995</v>
      </c>
      <c r="G172" s="54" t="s">
        <v>1346</v>
      </c>
      <c r="H172" s="63"/>
      <c r="I172" s="1"/>
      <c r="J172" s="5">
        <f>ABS(ISERR(J171))</f>
        <v>1</v>
      </c>
      <c r="K172" s="5">
        <f>ABS(IF(J172=0,"1","0"))</f>
        <v>0</v>
      </c>
      <c r="L172" s="3">
        <v>1</v>
      </c>
      <c r="M172" s="1" t="s">
        <v>1136</v>
      </c>
      <c r="N172" s="426"/>
      <c r="O172" s="426"/>
      <c r="P172" s="426"/>
      <c r="Q172" s="426"/>
    </row>
    <row r="173" spans="1:17" x14ac:dyDescent="0.2">
      <c r="A173" s="1"/>
      <c r="B173" s="1"/>
      <c r="C173" s="514" t="s">
        <v>1342</v>
      </c>
      <c r="D173" s="135"/>
      <c r="E173" s="55"/>
      <c r="F173" s="55"/>
      <c r="G173" s="55"/>
      <c r="H173" s="135"/>
      <c r="I173" s="1"/>
      <c r="J173" s="1"/>
      <c r="K173" s="1"/>
      <c r="L173" s="1"/>
      <c r="M173" s="1"/>
      <c r="N173" s="426"/>
      <c r="O173" s="426"/>
      <c r="P173" s="426"/>
      <c r="Q173" s="426"/>
    </row>
    <row r="174" spans="1:17" x14ac:dyDescent="0.2">
      <c r="A174" s="1"/>
      <c r="B174" s="1"/>
      <c r="C174" s="388" t="s">
        <v>1347</v>
      </c>
      <c r="D174" s="63" t="s">
        <v>1348</v>
      </c>
      <c r="E174" s="385" t="s">
        <v>995</v>
      </c>
      <c r="F174" s="54"/>
      <c r="G174" s="54"/>
      <c r="H174" s="63"/>
      <c r="I174" s="1"/>
      <c r="J174" s="1"/>
      <c r="K174" s="1"/>
      <c r="L174" s="1"/>
      <c r="M174" s="1" t="s">
        <v>1377</v>
      </c>
      <c r="N174" s="426"/>
      <c r="O174" s="426"/>
      <c r="P174" s="426"/>
      <c r="Q174" s="426"/>
    </row>
    <row r="175" spans="1:17" x14ac:dyDescent="0.2">
      <c r="A175" s="1"/>
      <c r="B175" s="395" t="str">
        <f>IF(C186="x",M174,"")</f>
        <v/>
      </c>
      <c r="C175" s="515" t="s">
        <v>2017</v>
      </c>
      <c r="D175" s="63" t="s">
        <v>1350</v>
      </c>
      <c r="E175" s="54" t="s">
        <v>1351</v>
      </c>
      <c r="F175" s="54"/>
      <c r="G175" s="54"/>
      <c r="H175" s="63"/>
      <c r="I175" s="1"/>
      <c r="J175" s="1"/>
      <c r="K175" s="1"/>
      <c r="L175" s="1"/>
      <c r="M175" s="1"/>
      <c r="N175" s="426"/>
      <c r="O175" s="426"/>
      <c r="P175" s="426"/>
      <c r="Q175" s="426"/>
    </row>
    <row r="176" spans="1:17" x14ac:dyDescent="0.2">
      <c r="A176" s="1"/>
      <c r="B176" s="3" t="str">
        <f>IF(C186="x",M156,"")</f>
        <v/>
      </c>
      <c r="C176" s="391" t="s">
        <v>1352</v>
      </c>
      <c r="D176" s="63" t="s">
        <v>1354</v>
      </c>
      <c r="E176" s="54" t="s">
        <v>1354</v>
      </c>
      <c r="F176" s="54" t="s">
        <v>1354</v>
      </c>
      <c r="G176" s="54" t="s">
        <v>1354</v>
      </c>
      <c r="H176" s="63" t="s">
        <v>1354</v>
      </c>
      <c r="I176" s="1"/>
      <c r="J176" s="1"/>
      <c r="K176" s="1"/>
      <c r="L176" s="1"/>
      <c r="M176" s="1"/>
      <c r="N176" s="426"/>
      <c r="O176" s="426"/>
      <c r="P176" s="426"/>
      <c r="Q176" s="426"/>
    </row>
    <row r="177" spans="1:17" x14ac:dyDescent="0.2">
      <c r="A177" s="1"/>
      <c r="B177" s="3" t="str">
        <f>IF(C186="x",M158,"")</f>
        <v/>
      </c>
      <c r="C177" s="390" t="s">
        <v>1353</v>
      </c>
      <c r="D177" s="135" t="s">
        <v>1355</v>
      </c>
      <c r="E177" s="55" t="s">
        <v>1356</v>
      </c>
      <c r="F177" s="55" t="s">
        <v>1357</v>
      </c>
      <c r="G177" s="55" t="s">
        <v>1358</v>
      </c>
      <c r="H177" s="135" t="s">
        <v>1359</v>
      </c>
      <c r="I177" s="1" t="s">
        <v>995</v>
      </c>
      <c r="J177" s="1"/>
      <c r="K177" s="1"/>
      <c r="L177" s="1"/>
      <c r="M177" s="1"/>
      <c r="N177" s="426"/>
      <c r="O177" s="426"/>
      <c r="P177" s="426"/>
      <c r="Q177" s="426"/>
    </row>
    <row r="178" spans="1:17" x14ac:dyDescent="0.2">
      <c r="A178" s="1"/>
      <c r="B178" s="3" t="str">
        <f>IF(C186="x",M160,"")</f>
        <v/>
      </c>
      <c r="C178" s="388" t="s">
        <v>1360</v>
      </c>
      <c r="D178" s="63" t="s">
        <v>1364</v>
      </c>
      <c r="E178" s="54" t="s">
        <v>1365</v>
      </c>
      <c r="F178" s="54" t="s">
        <v>1366</v>
      </c>
      <c r="G178" s="386" t="s">
        <v>995</v>
      </c>
      <c r="H178" s="63" t="s">
        <v>1368</v>
      </c>
      <c r="I178" s="1"/>
      <c r="J178" s="1"/>
      <c r="K178" s="1"/>
      <c r="L178" s="1"/>
      <c r="M178" s="1"/>
      <c r="N178" s="426"/>
      <c r="O178" s="426"/>
      <c r="P178" s="426"/>
      <c r="Q178" s="426"/>
    </row>
    <row r="179" spans="1:17" x14ac:dyDescent="0.2">
      <c r="A179" s="1"/>
      <c r="B179" s="3" t="str">
        <f>IF(C186="x",M162,"")</f>
        <v/>
      </c>
      <c r="C179" s="390" t="s">
        <v>1361</v>
      </c>
      <c r="D179" s="135" t="s">
        <v>995</v>
      </c>
      <c r="E179" s="55" t="s">
        <v>995</v>
      </c>
      <c r="F179" s="55" t="s">
        <v>1367</v>
      </c>
      <c r="G179" s="55"/>
      <c r="H179" s="135"/>
      <c r="I179" s="1"/>
      <c r="J179" s="1"/>
      <c r="K179" s="1"/>
      <c r="L179" s="1"/>
      <c r="M179" s="1"/>
      <c r="N179" s="426"/>
      <c r="O179" s="426"/>
      <c r="P179" s="426"/>
      <c r="Q179" s="426"/>
    </row>
    <row r="180" spans="1:17" x14ac:dyDescent="0.2">
      <c r="A180" s="1"/>
      <c r="B180" s="3" t="str">
        <f>IF(C186="x",M164,"")</f>
        <v/>
      </c>
      <c r="C180" s="390" t="s">
        <v>1362</v>
      </c>
      <c r="D180" s="135"/>
      <c r="E180" s="55"/>
      <c r="F180" s="55"/>
      <c r="G180" s="55"/>
      <c r="H180" s="63" t="s">
        <v>1375</v>
      </c>
      <c r="I180" s="1"/>
      <c r="J180" s="1"/>
      <c r="K180" s="1"/>
      <c r="L180" s="1"/>
      <c r="M180" s="1"/>
      <c r="N180" s="426"/>
      <c r="O180" s="426"/>
      <c r="P180" s="426"/>
      <c r="Q180" s="426"/>
    </row>
    <row r="181" spans="1:17" x14ac:dyDescent="0.2">
      <c r="A181" s="1"/>
      <c r="B181" s="3" t="str">
        <f>IF(C186="x",M166,"")</f>
        <v/>
      </c>
      <c r="C181" s="390" t="s">
        <v>1363</v>
      </c>
      <c r="D181" s="135"/>
      <c r="E181" s="55"/>
      <c r="F181" s="55"/>
      <c r="G181" s="55"/>
      <c r="H181" s="157"/>
      <c r="I181" s="1"/>
      <c r="J181" s="1"/>
      <c r="K181" s="1"/>
      <c r="L181" s="1"/>
      <c r="M181" s="1"/>
      <c r="N181" s="426"/>
      <c r="O181" s="426"/>
      <c r="P181" s="426"/>
      <c r="Q181" s="426"/>
    </row>
    <row r="182" spans="1:17" x14ac:dyDescent="0.2">
      <c r="A182" s="1"/>
      <c r="B182" s="3" t="str">
        <f>IF(C186="x",M168,"")</f>
        <v/>
      </c>
      <c r="C182" s="388" t="s">
        <v>1370</v>
      </c>
      <c r="D182" s="394" t="s">
        <v>995</v>
      </c>
      <c r="E182" s="54" t="s">
        <v>1372</v>
      </c>
      <c r="F182" s="54"/>
      <c r="G182" s="54"/>
      <c r="H182" s="63"/>
      <c r="I182" s="1"/>
      <c r="J182" s="1"/>
      <c r="K182" s="1"/>
      <c r="L182" s="1"/>
      <c r="M182" s="1"/>
      <c r="N182" s="426"/>
      <c r="O182" s="426"/>
      <c r="P182" s="426"/>
      <c r="Q182" s="426"/>
    </row>
    <row r="183" spans="1:17" x14ac:dyDescent="0.2">
      <c r="A183" s="1"/>
      <c r="B183" s="3" t="str">
        <f>IF(C186="x",M170,"")</f>
        <v/>
      </c>
      <c r="C183" s="390" t="s">
        <v>995</v>
      </c>
      <c r="D183" s="135" t="s">
        <v>1371</v>
      </c>
      <c r="E183" s="55" t="s">
        <v>1371</v>
      </c>
      <c r="F183" s="55"/>
      <c r="G183" s="55"/>
      <c r="H183" s="135"/>
      <c r="I183" s="1"/>
      <c r="J183" s="1"/>
      <c r="K183" s="1"/>
      <c r="L183" s="1"/>
      <c r="M183" s="1"/>
      <c r="N183" s="426"/>
      <c r="O183" s="426"/>
      <c r="P183" s="426"/>
      <c r="Q183" s="426"/>
    </row>
    <row r="184" spans="1:17" x14ac:dyDescent="0.2">
      <c r="A184" s="1"/>
      <c r="B184" s="3" t="str">
        <f>IF(C186="x",M172,"")</f>
        <v/>
      </c>
      <c r="C184" s="392" t="s">
        <v>1301</v>
      </c>
      <c r="D184" s="110" t="s">
        <v>1373</v>
      </c>
      <c r="E184" s="6"/>
      <c r="F184" s="6"/>
      <c r="G184" s="6"/>
      <c r="H184" s="110"/>
      <c r="I184" s="1"/>
      <c r="J184" s="1"/>
      <c r="K184" s="1"/>
      <c r="L184" s="1"/>
      <c r="M184" s="1"/>
      <c r="N184" s="426"/>
      <c r="O184" s="426"/>
      <c r="P184" s="426"/>
      <c r="Q184" s="426"/>
    </row>
    <row r="185" spans="1:17" x14ac:dyDescent="0.2">
      <c r="A185" s="1"/>
      <c r="B185" s="1"/>
      <c r="C185" s="1"/>
      <c r="D185" s="1"/>
      <c r="E185" s="1"/>
      <c r="F185" s="1"/>
      <c r="G185" s="1"/>
      <c r="H185" s="1"/>
      <c r="I185" s="1"/>
      <c r="J185" s="1"/>
      <c r="K185" s="1"/>
      <c r="L185" s="1"/>
      <c r="M185" s="1"/>
      <c r="N185" s="426"/>
      <c r="O185" s="426"/>
      <c r="P185" s="426"/>
      <c r="Q185" s="426"/>
    </row>
    <row r="186" spans="1:17" x14ac:dyDescent="0.2">
      <c r="A186" s="1"/>
      <c r="B186" s="82" t="s">
        <v>1033</v>
      </c>
      <c r="C186" s="318" t="s">
        <v>995</v>
      </c>
      <c r="D186" s="1"/>
      <c r="E186" s="1"/>
      <c r="F186" s="1"/>
      <c r="G186" s="1"/>
      <c r="H186" s="1"/>
      <c r="I186" s="1"/>
      <c r="J186" s="1"/>
      <c r="K186" s="1"/>
      <c r="L186" s="1"/>
      <c r="M186" s="1"/>
      <c r="N186" s="426"/>
      <c r="O186" s="426"/>
      <c r="P186" s="426"/>
      <c r="Q186" s="426"/>
    </row>
    <row r="187" spans="1:17" x14ac:dyDescent="0.2">
      <c r="A187" s="1"/>
      <c r="B187" s="1"/>
      <c r="C187" s="1"/>
      <c r="D187" s="1"/>
      <c r="E187" s="1"/>
      <c r="F187" s="1"/>
      <c r="G187" s="1"/>
      <c r="H187" s="1"/>
      <c r="I187" s="1"/>
      <c r="J187" s="1"/>
      <c r="K187" s="1"/>
      <c r="L187" s="1"/>
      <c r="M187" s="1"/>
      <c r="N187" s="426"/>
      <c r="O187" s="426"/>
      <c r="P187" s="426"/>
      <c r="Q187" s="426"/>
    </row>
    <row r="188" spans="1:17" x14ac:dyDescent="0.2">
      <c r="A188" s="14"/>
      <c r="B188" s="14"/>
      <c r="C188" s="14"/>
      <c r="D188" s="14"/>
      <c r="E188" s="14"/>
      <c r="F188" s="14"/>
      <c r="G188" s="14"/>
      <c r="H188" s="14"/>
      <c r="I188" s="14"/>
      <c r="J188" s="1"/>
      <c r="K188" s="1"/>
      <c r="L188" s="1"/>
      <c r="M188" s="1"/>
      <c r="N188" s="426"/>
      <c r="O188" s="426"/>
      <c r="P188" s="426"/>
      <c r="Q188" s="426"/>
    </row>
    <row r="189" spans="1:17" x14ac:dyDescent="0.2">
      <c r="A189" s="1"/>
      <c r="B189" s="1"/>
      <c r="C189" s="1"/>
      <c r="D189" s="1"/>
      <c r="E189" s="1"/>
      <c r="F189" s="1"/>
      <c r="G189" s="1"/>
      <c r="H189" s="1"/>
      <c r="I189" s="1"/>
      <c r="J189" s="5" t="e">
        <f>SEARCH("onrealistisch",F191)</f>
        <v>#VALUE!</v>
      </c>
      <c r="K189" s="1"/>
      <c r="L189" s="3"/>
      <c r="M189" s="1"/>
      <c r="N189" s="426"/>
      <c r="O189" s="426"/>
      <c r="P189" s="426"/>
      <c r="Q189" s="426"/>
    </row>
    <row r="190" spans="1:17" ht="13.5" thickBot="1" x14ac:dyDescent="0.25">
      <c r="A190" s="1" t="s">
        <v>860</v>
      </c>
      <c r="B190" s="67" t="s">
        <v>2525</v>
      </c>
      <c r="C190" s="1"/>
      <c r="D190" s="397" t="s">
        <v>1407</v>
      </c>
      <c r="E190" s="400" t="s">
        <v>1378</v>
      </c>
      <c r="F190" s="40" t="s">
        <v>2520</v>
      </c>
      <c r="G190" s="1"/>
      <c r="H190" s="1"/>
      <c r="I190" s="1"/>
      <c r="J190" s="5">
        <f>ABS(ISERR(J189))</f>
        <v>1</v>
      </c>
      <c r="K190" s="5">
        <f>ABS(IF(J190=0,"1","0"))</f>
        <v>0</v>
      </c>
      <c r="L190" s="3" t="s">
        <v>995</v>
      </c>
      <c r="M190" s="1" t="s">
        <v>1408</v>
      </c>
      <c r="N190" s="426"/>
      <c r="O190" s="426"/>
      <c r="P190" s="426"/>
      <c r="Q190" s="426"/>
    </row>
    <row r="191" spans="1:17" ht="13.5" thickTop="1" x14ac:dyDescent="0.2">
      <c r="A191" s="1"/>
      <c r="B191" s="67" t="s">
        <v>2524</v>
      </c>
      <c r="C191" s="1"/>
      <c r="D191" s="256" t="s">
        <v>1281</v>
      </c>
      <c r="E191" s="257" t="s">
        <v>1387</v>
      </c>
      <c r="F191" s="403" t="s">
        <v>995</v>
      </c>
      <c r="G191" s="1"/>
      <c r="H191" s="1"/>
      <c r="I191" s="1"/>
      <c r="J191" s="5" t="e">
        <f>SEARCH("onpraktisch",F191)</f>
        <v>#VALUE!</v>
      </c>
      <c r="K191" s="1"/>
      <c r="L191" s="3">
        <v>1</v>
      </c>
      <c r="M191" s="1"/>
      <c r="N191" s="426"/>
      <c r="O191" s="426"/>
      <c r="P191" s="426"/>
      <c r="Q191" s="426"/>
    </row>
    <row r="192" spans="1:17" x14ac:dyDescent="0.2">
      <c r="A192" s="1"/>
      <c r="B192" s="1" t="s">
        <v>2516</v>
      </c>
      <c r="C192" s="1"/>
      <c r="D192" s="256"/>
      <c r="E192" s="257"/>
      <c r="F192" s="135" t="s">
        <v>995</v>
      </c>
      <c r="G192" s="1"/>
      <c r="H192" s="1"/>
      <c r="I192" s="1"/>
      <c r="J192" s="5">
        <f>ABS(ISERR(J191))</f>
        <v>1</v>
      </c>
      <c r="K192" s="5">
        <f>ABS(IF(J192=0,"1","0"))</f>
        <v>0</v>
      </c>
      <c r="L192" s="3" t="s">
        <v>995</v>
      </c>
      <c r="M192" s="1" t="s">
        <v>995</v>
      </c>
      <c r="N192" s="426"/>
      <c r="O192" s="426"/>
      <c r="P192" s="426"/>
      <c r="Q192" s="426"/>
    </row>
    <row r="193" spans="1:17" x14ac:dyDescent="0.2">
      <c r="A193" s="1"/>
      <c r="B193" s="1" t="s">
        <v>2517</v>
      </c>
      <c r="C193" s="1"/>
      <c r="D193" s="402" t="s">
        <v>1273</v>
      </c>
      <c r="E193" s="255" t="s">
        <v>1400</v>
      </c>
      <c r="F193" s="63" t="s">
        <v>1389</v>
      </c>
      <c r="G193" s="1"/>
      <c r="H193" s="1"/>
      <c r="I193" s="1"/>
      <c r="J193" s="1"/>
      <c r="K193" s="1"/>
      <c r="L193" s="1"/>
      <c r="M193" s="1"/>
      <c r="N193" s="426"/>
      <c r="O193" s="426"/>
      <c r="P193" s="426"/>
      <c r="Q193" s="426"/>
    </row>
    <row r="194" spans="1:17" x14ac:dyDescent="0.2">
      <c r="A194" s="1"/>
      <c r="B194" s="1" t="s">
        <v>1402</v>
      </c>
      <c r="C194" s="1"/>
      <c r="D194" s="256"/>
      <c r="E194" s="257" t="s">
        <v>1399</v>
      </c>
      <c r="F194" s="135"/>
      <c r="G194" s="1"/>
      <c r="H194" s="1"/>
      <c r="I194" s="1"/>
      <c r="J194" s="1"/>
      <c r="K194" s="1"/>
      <c r="L194" s="1"/>
      <c r="M194" s="1" t="s">
        <v>1377</v>
      </c>
      <c r="N194" s="426"/>
      <c r="O194" s="426"/>
      <c r="P194" s="426"/>
      <c r="Q194" s="426"/>
    </row>
    <row r="195" spans="1:17" x14ac:dyDescent="0.2">
      <c r="A195" s="1"/>
      <c r="B195" s="1" t="s">
        <v>1403</v>
      </c>
      <c r="C195" s="1"/>
      <c r="D195" s="398"/>
      <c r="E195" s="257" t="s">
        <v>1388</v>
      </c>
      <c r="F195" s="396"/>
      <c r="G195" s="1"/>
      <c r="H195" s="1"/>
      <c r="I195" s="1"/>
      <c r="J195" s="1"/>
      <c r="K195" s="1"/>
      <c r="L195" s="1"/>
      <c r="M195" s="1"/>
      <c r="N195" s="426"/>
      <c r="O195" s="426"/>
      <c r="P195" s="426"/>
      <c r="Q195" s="426"/>
    </row>
    <row r="196" spans="1:17" x14ac:dyDescent="0.2">
      <c r="A196" s="1"/>
      <c r="B196" s="1" t="s">
        <v>1404</v>
      </c>
      <c r="C196" s="1"/>
      <c r="D196" s="402" t="s">
        <v>1289</v>
      </c>
      <c r="E196" s="394" t="s">
        <v>995</v>
      </c>
      <c r="F196" s="63" t="s">
        <v>2521</v>
      </c>
      <c r="G196" s="1"/>
      <c r="H196" s="1"/>
      <c r="I196" s="1"/>
      <c r="J196" s="5" t="e">
        <f>SEARCH("taakgericht",E196)</f>
        <v>#VALUE!</v>
      </c>
      <c r="K196" s="1"/>
      <c r="L196" s="3"/>
      <c r="M196" s="1" t="s">
        <v>1349</v>
      </c>
      <c r="N196" s="426"/>
      <c r="O196" s="426"/>
      <c r="P196" s="426"/>
      <c r="Q196" s="426"/>
    </row>
    <row r="197" spans="1:17" x14ac:dyDescent="0.2">
      <c r="A197" s="1"/>
      <c r="B197" s="1" t="s">
        <v>2518</v>
      </c>
      <c r="C197" s="1"/>
      <c r="D197" s="256"/>
      <c r="E197" s="257"/>
      <c r="F197" s="135" t="s">
        <v>1390</v>
      </c>
      <c r="G197" s="1"/>
      <c r="H197" s="1"/>
      <c r="I197" s="1"/>
      <c r="J197" s="5">
        <f>ABS(ISERR(J196))</f>
        <v>1</v>
      </c>
      <c r="K197" s="5">
        <f>ABS(IF(J197=0,"1","0"))</f>
        <v>0</v>
      </c>
      <c r="L197" s="3">
        <v>1</v>
      </c>
      <c r="M197" s="1"/>
      <c r="N197" s="426"/>
      <c r="O197" s="426"/>
      <c r="P197" s="426"/>
      <c r="Q197" s="426"/>
    </row>
    <row r="198" spans="1:17" x14ac:dyDescent="0.2">
      <c r="A198" s="1"/>
      <c r="B198" s="1" t="s">
        <v>1406</v>
      </c>
      <c r="C198" s="1"/>
      <c r="D198" s="256"/>
      <c r="E198" s="257"/>
      <c r="F198" s="135" t="s">
        <v>1391</v>
      </c>
      <c r="G198" s="1"/>
      <c r="H198" s="1"/>
      <c r="I198" s="1"/>
      <c r="J198" s="1"/>
      <c r="K198" s="1"/>
      <c r="L198" s="1"/>
      <c r="M198" s="1"/>
      <c r="N198" s="426"/>
      <c r="O198" s="426"/>
      <c r="P198" s="426"/>
      <c r="Q198" s="426"/>
    </row>
    <row r="199" spans="1:17" x14ac:dyDescent="0.2">
      <c r="A199" s="1"/>
      <c r="B199" s="1" t="s">
        <v>2519</v>
      </c>
      <c r="C199" s="1"/>
      <c r="D199" s="404" t="s">
        <v>995</v>
      </c>
      <c r="E199" s="255" t="s">
        <v>1393</v>
      </c>
      <c r="F199" s="63" t="s">
        <v>1394</v>
      </c>
      <c r="G199" s="1"/>
      <c r="H199" s="1"/>
      <c r="I199" s="1"/>
      <c r="J199" s="5" t="e">
        <f>SEARCH("bestuurder",D199)</f>
        <v>#VALUE!</v>
      </c>
      <c r="K199" s="1"/>
      <c r="L199" s="3"/>
      <c r="M199" s="1" t="s">
        <v>1392</v>
      </c>
      <c r="N199" s="426"/>
      <c r="O199" s="426"/>
      <c r="P199" s="426"/>
      <c r="Q199" s="426"/>
    </row>
    <row r="200" spans="1:17" x14ac:dyDescent="0.2">
      <c r="A200" s="1"/>
      <c r="B200" s="67" t="s">
        <v>1405</v>
      </c>
      <c r="C200" s="1"/>
      <c r="D200" s="256"/>
      <c r="E200" s="257" t="s">
        <v>995</v>
      </c>
      <c r="F200" s="135" t="s">
        <v>1395</v>
      </c>
      <c r="G200" s="1"/>
      <c r="H200" s="1"/>
      <c r="I200" s="1"/>
      <c r="J200" s="5">
        <f>ABS(ISERR(J199))</f>
        <v>1</v>
      </c>
      <c r="K200" s="5">
        <f>ABS(IF(J200=0,"1","0"))</f>
        <v>0</v>
      </c>
      <c r="L200" s="3">
        <v>1</v>
      </c>
      <c r="M200" s="1"/>
      <c r="N200" s="426"/>
      <c r="O200" s="426"/>
      <c r="P200" s="426"/>
      <c r="Q200" s="426"/>
    </row>
    <row r="201" spans="1:17" x14ac:dyDescent="0.2">
      <c r="A201" s="1"/>
      <c r="B201" s="1"/>
      <c r="C201" s="1"/>
      <c r="D201" s="402" t="s">
        <v>2522</v>
      </c>
      <c r="E201" s="255" t="s">
        <v>1396</v>
      </c>
      <c r="F201" s="63" t="s">
        <v>1397</v>
      </c>
      <c r="G201" s="1"/>
      <c r="H201" s="1"/>
      <c r="I201" s="1"/>
      <c r="J201" s="1"/>
      <c r="K201" s="1"/>
      <c r="L201" s="1"/>
      <c r="M201" s="1"/>
      <c r="N201" s="426"/>
      <c r="O201" s="426"/>
      <c r="P201" s="426"/>
      <c r="Q201" s="426"/>
    </row>
    <row r="202" spans="1:17" x14ac:dyDescent="0.2">
      <c r="A202" s="1"/>
      <c r="B202" s="395" t="str">
        <f>IF(C208="x",M194,"")</f>
        <v/>
      </c>
      <c r="C202" s="1"/>
      <c r="D202" s="256"/>
      <c r="E202" s="257"/>
      <c r="F202" s="135" t="s">
        <v>1398</v>
      </c>
      <c r="G202" s="1"/>
      <c r="H202" s="1"/>
      <c r="I202" s="1"/>
      <c r="J202" s="5" t="e">
        <f>SEARCH("democratisch",F204)</f>
        <v>#VALUE!</v>
      </c>
      <c r="K202" s="1"/>
      <c r="L202" s="3"/>
      <c r="M202" s="1"/>
      <c r="N202" s="426"/>
      <c r="O202" s="426"/>
      <c r="P202" s="426"/>
      <c r="Q202" s="426"/>
    </row>
    <row r="203" spans="1:17" x14ac:dyDescent="0.2">
      <c r="A203" s="1"/>
      <c r="B203" s="3" t="str">
        <f>IF(C208="x",M190,"")</f>
        <v/>
      </c>
      <c r="C203" s="1"/>
      <c r="D203" s="402" t="s">
        <v>1385</v>
      </c>
      <c r="E203" s="255" t="s">
        <v>1386</v>
      </c>
      <c r="F203" s="63" t="s">
        <v>1401</v>
      </c>
      <c r="G203" s="1"/>
      <c r="H203" s="1"/>
      <c r="I203" s="1"/>
      <c r="J203" s="5">
        <f>ABS(ISERR(J202))</f>
        <v>1</v>
      </c>
      <c r="K203" s="5">
        <f>ABS(IF(J203=0,"1","0"))</f>
        <v>0</v>
      </c>
      <c r="L203" s="3">
        <v>1</v>
      </c>
      <c r="M203" s="67" t="s">
        <v>2786</v>
      </c>
      <c r="N203" s="426"/>
      <c r="O203" s="426"/>
      <c r="P203" s="426"/>
      <c r="Q203" s="426"/>
    </row>
    <row r="204" spans="1:17" x14ac:dyDescent="0.2">
      <c r="A204" s="1"/>
      <c r="B204" s="3" t="str">
        <f>IF(C208="x",M196,"")</f>
        <v/>
      </c>
      <c r="C204" s="1"/>
      <c r="D204" s="402" t="s">
        <v>1383</v>
      </c>
      <c r="E204" s="255" t="s">
        <v>1384</v>
      </c>
      <c r="F204" s="393" t="s">
        <v>995</v>
      </c>
      <c r="G204" s="1"/>
      <c r="H204" s="1"/>
      <c r="I204" s="1"/>
      <c r="J204" s="1"/>
      <c r="K204" s="1"/>
      <c r="L204" s="1"/>
      <c r="M204" s="1"/>
      <c r="N204" s="426"/>
      <c r="O204" s="426"/>
      <c r="P204" s="426"/>
      <c r="Q204" s="426"/>
    </row>
    <row r="205" spans="1:17" x14ac:dyDescent="0.2">
      <c r="A205" s="1"/>
      <c r="B205" s="3" t="str">
        <f>IF(C208="x",M199,"")</f>
        <v/>
      </c>
      <c r="C205" s="1"/>
      <c r="D205" s="404" t="s">
        <v>995</v>
      </c>
      <c r="E205" s="255" t="s">
        <v>2523</v>
      </c>
      <c r="F205" s="63" t="s">
        <v>1380</v>
      </c>
      <c r="G205" s="1"/>
      <c r="H205" s="1"/>
      <c r="I205" s="1"/>
      <c r="J205" s="5" t="e">
        <f>SEARCH("mentor",D205)</f>
        <v>#VALUE!</v>
      </c>
      <c r="K205" s="1"/>
      <c r="L205" s="3"/>
      <c r="M205" s="1"/>
      <c r="N205" s="426"/>
      <c r="O205" s="426"/>
      <c r="P205" s="426"/>
      <c r="Q205" s="426"/>
    </row>
    <row r="206" spans="1:17" x14ac:dyDescent="0.2">
      <c r="A206" s="1"/>
      <c r="B206" s="3" t="str">
        <f>IF(C208="x",M203,"")</f>
        <v/>
      </c>
      <c r="C206" s="1"/>
      <c r="D206" s="399"/>
      <c r="E206" s="401" t="s">
        <v>1381</v>
      </c>
      <c r="F206" s="157" t="s">
        <v>1382</v>
      </c>
      <c r="G206" s="1"/>
      <c r="H206" s="1"/>
      <c r="I206" s="1"/>
      <c r="J206" s="5">
        <f>ABS(ISERR(J205))</f>
        <v>1</v>
      </c>
      <c r="K206" s="5">
        <f>ABS(IF(J206=0,"1","0"))</f>
        <v>0</v>
      </c>
      <c r="L206" s="3">
        <v>1</v>
      </c>
      <c r="M206" s="1" t="s">
        <v>1379</v>
      </c>
      <c r="N206" s="426"/>
      <c r="O206" s="426"/>
      <c r="P206" s="426"/>
      <c r="Q206" s="426"/>
    </row>
    <row r="207" spans="1:17" x14ac:dyDescent="0.2">
      <c r="A207" s="1"/>
      <c r="B207" s="3" t="str">
        <f>IF(C208="x",M206,"")</f>
        <v/>
      </c>
      <c r="C207" s="1"/>
      <c r="D207" s="1"/>
      <c r="E207" s="1"/>
      <c r="F207" s="1"/>
      <c r="G207" s="1"/>
      <c r="H207" s="1"/>
      <c r="I207" s="1"/>
      <c r="J207" s="1"/>
      <c r="K207" s="1"/>
      <c r="L207" s="1"/>
      <c r="M207" s="1"/>
      <c r="N207" s="426"/>
      <c r="O207" s="426"/>
      <c r="P207" s="426"/>
      <c r="Q207" s="426"/>
    </row>
    <row r="208" spans="1:17" x14ac:dyDescent="0.2">
      <c r="A208" s="1"/>
      <c r="B208" s="82" t="s">
        <v>1033</v>
      </c>
      <c r="C208" s="318" t="s">
        <v>995</v>
      </c>
      <c r="D208" s="1"/>
      <c r="E208" s="1"/>
      <c r="F208" s="1"/>
      <c r="G208" s="1"/>
      <c r="H208" s="1"/>
      <c r="I208" s="1"/>
      <c r="J208" s="1"/>
      <c r="K208" s="1"/>
      <c r="L208" s="1"/>
      <c r="M208" s="1"/>
      <c r="N208" s="426"/>
      <c r="O208" s="426"/>
      <c r="P208" s="426"/>
      <c r="Q208" s="426"/>
    </row>
    <row r="209" spans="1:17" x14ac:dyDescent="0.2">
      <c r="A209" s="1"/>
      <c r="B209" s="1"/>
      <c r="C209" s="1"/>
      <c r="D209" s="1"/>
      <c r="E209" s="1"/>
      <c r="F209" s="1"/>
      <c r="G209" s="1"/>
      <c r="H209" s="1"/>
      <c r="I209" s="1"/>
      <c r="J209" s="1"/>
      <c r="K209" s="1"/>
      <c r="L209" s="1"/>
      <c r="M209" s="1"/>
      <c r="N209" s="426"/>
      <c r="O209" s="426"/>
      <c r="P209" s="426"/>
      <c r="Q209" s="426"/>
    </row>
    <row r="210" spans="1:17" x14ac:dyDescent="0.2">
      <c r="A210" s="14"/>
      <c r="B210" s="14"/>
      <c r="C210" s="14"/>
      <c r="D210" s="14"/>
      <c r="E210" s="14"/>
      <c r="F210" s="14"/>
      <c r="G210" s="14"/>
      <c r="H210" s="14"/>
      <c r="I210" s="14"/>
      <c r="J210" s="1"/>
      <c r="K210" s="1"/>
      <c r="L210" s="1"/>
      <c r="M210" s="1"/>
      <c r="N210" s="426"/>
      <c r="O210" s="426"/>
      <c r="P210" s="426"/>
      <c r="Q210" s="426"/>
    </row>
    <row r="211" spans="1:17" x14ac:dyDescent="0.2">
      <c r="A211" s="1"/>
      <c r="B211" s="1"/>
      <c r="C211" s="1"/>
      <c r="D211" s="1"/>
      <c r="E211" s="1"/>
      <c r="F211" s="1"/>
      <c r="G211" s="1"/>
      <c r="H211" s="1"/>
      <c r="I211" s="1"/>
      <c r="J211" s="1"/>
      <c r="K211" s="1"/>
      <c r="L211" s="1"/>
      <c r="M211" s="1"/>
      <c r="N211" s="426"/>
      <c r="O211" s="426"/>
      <c r="P211" s="426"/>
      <c r="Q211" s="426"/>
    </row>
    <row r="212" spans="1:17" x14ac:dyDescent="0.2">
      <c r="A212" s="1" t="s">
        <v>861</v>
      </c>
      <c r="B212" s="1" t="s">
        <v>1414</v>
      </c>
      <c r="C212" s="1"/>
      <c r="D212" s="172" t="s">
        <v>1409</v>
      </c>
      <c r="F212" s="3" t="s">
        <v>1410</v>
      </c>
      <c r="G212" s="1"/>
      <c r="H212" s="5" t="s">
        <v>1412</v>
      </c>
      <c r="I212" s="1"/>
      <c r="J212" s="1"/>
      <c r="K212" s="1"/>
      <c r="L212" s="1"/>
      <c r="M212" s="1"/>
      <c r="N212" s="426"/>
      <c r="O212" s="426"/>
      <c r="P212" s="426"/>
      <c r="Q212" s="426"/>
    </row>
    <row r="213" spans="1:17" x14ac:dyDescent="0.2">
      <c r="A213" s="1"/>
      <c r="B213" s="1" t="s">
        <v>1415</v>
      </c>
      <c r="C213" s="1"/>
      <c r="D213" s="1"/>
      <c r="E213" s="1"/>
      <c r="F213" s="3" t="s">
        <v>1411</v>
      </c>
      <c r="G213" s="1"/>
      <c r="H213" s="1"/>
      <c r="I213" s="1"/>
      <c r="J213" s="1"/>
      <c r="K213" s="1"/>
      <c r="L213" s="1"/>
      <c r="M213" s="1"/>
      <c r="N213" s="426"/>
      <c r="O213" s="426"/>
      <c r="P213" s="426"/>
      <c r="Q213" s="426"/>
    </row>
    <row r="214" spans="1:17" x14ac:dyDescent="0.2">
      <c r="A214" s="1"/>
      <c r="B214" s="1"/>
      <c r="C214" s="1"/>
      <c r="D214" s="1"/>
      <c r="E214" s="1"/>
      <c r="F214" s="1"/>
      <c r="G214" s="1"/>
      <c r="H214" s="1"/>
      <c r="I214" s="1"/>
      <c r="J214" s="5" t="e">
        <f>SEARCH("allergie",D216)</f>
        <v>#VALUE!</v>
      </c>
      <c r="K214" s="1"/>
      <c r="L214" s="3"/>
      <c r="M214" s="1"/>
      <c r="N214" s="426"/>
      <c r="O214" s="426"/>
      <c r="P214" s="426"/>
      <c r="Q214" s="426"/>
    </row>
    <row r="215" spans="1:17" x14ac:dyDescent="0.2">
      <c r="A215" s="1"/>
      <c r="B215" s="1"/>
      <c r="C215" s="1"/>
      <c r="D215" s="3" t="str">
        <f>IF(C218="x",M215,"")</f>
        <v/>
      </c>
      <c r="E215" s="1"/>
      <c r="F215" s="1"/>
      <c r="G215" s="1"/>
      <c r="H215" s="1"/>
      <c r="I215" s="1"/>
      <c r="J215" s="5">
        <f>ABS(ISERR(J214))</f>
        <v>1</v>
      </c>
      <c r="K215" s="5">
        <f>ABS(IF(J215=0,"1","0"))</f>
        <v>0</v>
      </c>
      <c r="L215" s="3">
        <v>1</v>
      </c>
      <c r="M215" s="1" t="s">
        <v>1416</v>
      </c>
      <c r="N215" s="426"/>
      <c r="O215" s="426"/>
      <c r="P215" s="426"/>
      <c r="Q215" s="426"/>
    </row>
    <row r="216" spans="1:17" x14ac:dyDescent="0.2">
      <c r="A216" s="1"/>
      <c r="B216" s="1"/>
      <c r="C216" s="1"/>
      <c r="D216" s="10" t="s">
        <v>995</v>
      </c>
      <c r="E216" s="1"/>
      <c r="F216" s="3" t="s">
        <v>1410</v>
      </c>
      <c r="G216" s="1"/>
      <c r="H216" s="5" t="s">
        <v>1413</v>
      </c>
      <c r="I216" s="1"/>
      <c r="J216" s="1"/>
      <c r="K216" s="1"/>
      <c r="L216" s="1"/>
      <c r="M216" s="1"/>
      <c r="N216" s="426"/>
      <c r="O216" s="426"/>
      <c r="P216" s="426"/>
      <c r="Q216" s="426"/>
    </row>
    <row r="217" spans="1:17" x14ac:dyDescent="0.2">
      <c r="A217" s="1"/>
      <c r="B217" s="1"/>
      <c r="C217" s="1"/>
      <c r="D217" s="1"/>
      <c r="E217" s="1"/>
      <c r="F217" s="3" t="s">
        <v>1411</v>
      </c>
      <c r="G217" s="1"/>
      <c r="H217" s="1"/>
      <c r="I217" s="1"/>
      <c r="J217" s="1"/>
      <c r="K217" s="1"/>
      <c r="L217" s="1"/>
      <c r="M217" s="1"/>
      <c r="N217" s="426"/>
      <c r="O217" s="426"/>
      <c r="P217" s="426"/>
      <c r="Q217" s="426"/>
    </row>
    <row r="218" spans="1:17" x14ac:dyDescent="0.2">
      <c r="A218" s="1"/>
      <c r="B218" s="82" t="s">
        <v>1033</v>
      </c>
      <c r="C218" s="318" t="s">
        <v>995</v>
      </c>
      <c r="D218" s="1"/>
      <c r="E218" s="1"/>
      <c r="F218" s="1"/>
      <c r="G218" s="1"/>
      <c r="H218" s="1"/>
      <c r="I218" s="1"/>
      <c r="J218" s="1"/>
      <c r="K218" s="1"/>
      <c r="L218" s="1"/>
      <c r="M218" s="1"/>
      <c r="N218" s="426"/>
      <c r="O218" s="426"/>
      <c r="P218" s="426"/>
      <c r="Q218" s="426"/>
    </row>
    <row r="219" spans="1:17" x14ac:dyDescent="0.2">
      <c r="A219" s="1"/>
      <c r="B219" s="1"/>
      <c r="C219" s="1"/>
      <c r="D219" s="1"/>
      <c r="E219" s="1"/>
      <c r="F219" s="1"/>
      <c r="G219" s="1"/>
      <c r="H219" s="1"/>
      <c r="I219" s="1"/>
      <c r="J219" s="1"/>
      <c r="K219" s="1"/>
      <c r="L219" s="1"/>
      <c r="M219" s="1"/>
      <c r="N219" s="426"/>
      <c r="O219" s="426"/>
      <c r="P219" s="426"/>
      <c r="Q219" s="426"/>
    </row>
    <row r="220" spans="1:17" x14ac:dyDescent="0.2">
      <c r="A220" s="14"/>
      <c r="B220" s="405" t="s">
        <v>1417</v>
      </c>
      <c r="C220" s="14"/>
      <c r="D220" s="14"/>
      <c r="E220" s="14"/>
      <c r="F220" s="14"/>
      <c r="G220" s="14"/>
      <c r="H220" s="14"/>
      <c r="I220" s="14"/>
      <c r="J220" s="1"/>
      <c r="K220" s="1"/>
      <c r="L220" s="1"/>
      <c r="M220" s="1"/>
      <c r="N220" s="426"/>
      <c r="O220" s="426"/>
      <c r="P220" s="426"/>
      <c r="Q220" s="426"/>
    </row>
    <row r="221" spans="1:17" x14ac:dyDescent="0.2">
      <c r="A221" s="1"/>
      <c r="B221" s="1"/>
      <c r="C221" s="1"/>
      <c r="D221" s="1"/>
      <c r="E221" s="1"/>
      <c r="F221" s="1"/>
      <c r="G221" s="1"/>
      <c r="H221" s="1"/>
      <c r="I221" s="1"/>
      <c r="J221" s="1"/>
      <c r="K221" s="1"/>
      <c r="L221" s="1"/>
      <c r="M221" s="1"/>
      <c r="N221" s="426"/>
      <c r="O221" s="426"/>
      <c r="P221" s="426"/>
      <c r="Q221" s="426"/>
    </row>
    <row r="222" spans="1:17" x14ac:dyDescent="0.2">
      <c r="A222" s="1"/>
      <c r="B222" s="1"/>
      <c r="C222" s="1"/>
      <c r="D222" s="1"/>
      <c r="E222" s="1"/>
      <c r="F222" s="1"/>
      <c r="G222" s="1"/>
      <c r="H222" s="1"/>
      <c r="I222" s="1"/>
      <c r="J222" s="1"/>
      <c r="K222" s="1"/>
      <c r="L222" s="1"/>
      <c r="M222" s="1"/>
      <c r="N222" s="426"/>
      <c r="O222" s="426"/>
      <c r="P222" s="426"/>
      <c r="Q222" s="426"/>
    </row>
    <row r="223" spans="1:17" x14ac:dyDescent="0.2">
      <c r="A223" s="1"/>
      <c r="B223" s="1"/>
      <c r="C223" s="1"/>
      <c r="D223" s="1"/>
      <c r="E223" s="1"/>
      <c r="F223" s="1"/>
      <c r="G223" s="1"/>
      <c r="H223" s="1"/>
      <c r="I223" s="1"/>
      <c r="J223" s="1"/>
      <c r="K223" s="1"/>
      <c r="L223" s="1"/>
      <c r="M223" s="1"/>
      <c r="N223" s="426"/>
      <c r="O223" s="426"/>
      <c r="P223" s="426"/>
      <c r="Q223" s="426"/>
    </row>
    <row r="224" spans="1:17" x14ac:dyDescent="0.2">
      <c r="A224" s="1"/>
      <c r="B224" s="1"/>
      <c r="C224" s="1"/>
      <c r="D224" s="1"/>
      <c r="E224" s="1"/>
      <c r="F224" s="1"/>
      <c r="G224" s="1"/>
      <c r="H224" s="1"/>
      <c r="I224" s="1"/>
      <c r="J224" s="1"/>
      <c r="K224" s="1"/>
      <c r="L224" s="3"/>
      <c r="M224" s="1"/>
      <c r="N224" s="426"/>
      <c r="O224" s="426"/>
      <c r="P224" s="426"/>
      <c r="Q224" s="426"/>
    </row>
    <row r="225" spans="1:17" ht="13.5" thickBot="1" x14ac:dyDescent="0.25">
      <c r="A225" s="1"/>
      <c r="B225" s="1"/>
      <c r="C225" s="1"/>
      <c r="D225" s="1"/>
      <c r="E225" s="1"/>
      <c r="F225" s="1"/>
      <c r="G225" s="1"/>
      <c r="H225" s="1"/>
      <c r="I225" s="1"/>
      <c r="J225" s="1"/>
      <c r="K225" s="1"/>
      <c r="L225" s="12" t="s">
        <v>256</v>
      </c>
      <c r="M225" s="1"/>
      <c r="N225" s="426"/>
      <c r="O225" s="426"/>
      <c r="P225" s="426"/>
      <c r="Q225" s="426"/>
    </row>
    <row r="226" spans="1:17" ht="14.25" thickTop="1" thickBot="1" x14ac:dyDescent="0.25">
      <c r="A226" s="1"/>
      <c r="B226" s="6" t="s">
        <v>265</v>
      </c>
      <c r="C226" s="73">
        <f>L226</f>
        <v>55</v>
      </c>
      <c r="D226" s="1"/>
      <c r="E226" s="1"/>
      <c r="F226" s="1"/>
      <c r="G226" s="1"/>
      <c r="H226" s="1"/>
      <c r="I226" s="1"/>
      <c r="J226" s="16" t="s">
        <v>343</v>
      </c>
      <c r="K226" s="69">
        <f>SUM(K4:K219)</f>
        <v>0</v>
      </c>
      <c r="L226" s="70">
        <f>SUM(L4:L219)</f>
        <v>55</v>
      </c>
      <c r="M226" s="1"/>
      <c r="N226" s="426"/>
      <c r="O226" s="426"/>
      <c r="P226" s="426"/>
      <c r="Q226" s="426"/>
    </row>
    <row r="227" spans="1:17" ht="13.5" thickTop="1" x14ac:dyDescent="0.2">
      <c r="A227" s="1"/>
      <c r="B227" s="73" t="s">
        <v>2089</v>
      </c>
      <c r="C227" s="73">
        <f>L226/100</f>
        <v>0.55000000000000004</v>
      </c>
      <c r="D227" s="1"/>
      <c r="E227" s="1"/>
      <c r="F227" s="1"/>
      <c r="G227" s="1"/>
      <c r="H227" s="1"/>
      <c r="I227" s="1"/>
      <c r="J227" s="16" t="s">
        <v>344</v>
      </c>
      <c r="K227" s="71">
        <f>L226</f>
        <v>55</v>
      </c>
      <c r="L227" s="3"/>
      <c r="M227" s="1"/>
      <c r="N227" s="426"/>
      <c r="O227" s="426"/>
      <c r="P227" s="426"/>
      <c r="Q227" s="426"/>
    </row>
    <row r="228" spans="1:17" ht="13.5" thickBot="1" x14ac:dyDescent="0.25">
      <c r="A228" s="1"/>
      <c r="B228" s="54" t="s">
        <v>2137</v>
      </c>
      <c r="C228" s="74">
        <f>K226/C227</f>
        <v>0</v>
      </c>
      <c r="D228" s="1"/>
      <c r="E228" s="1"/>
      <c r="F228" s="1"/>
      <c r="G228" s="1"/>
      <c r="H228" s="1"/>
      <c r="I228" s="1"/>
      <c r="J228" s="1" t="s">
        <v>257</v>
      </c>
      <c r="K228" s="1">
        <f>(100/K227)</f>
        <v>1.8181818181818181</v>
      </c>
      <c r="L228" s="3"/>
      <c r="M228" s="1"/>
      <c r="N228" s="426"/>
      <c r="O228" s="426"/>
      <c r="P228" s="426"/>
      <c r="Q228" s="426"/>
    </row>
    <row r="229" spans="1:17" ht="17.25" thickTop="1" thickBot="1" x14ac:dyDescent="0.3">
      <c r="A229" s="1"/>
      <c r="B229" s="75" t="s">
        <v>266</v>
      </c>
      <c r="C229" s="78">
        <f>K229</f>
        <v>0</v>
      </c>
      <c r="D229" s="77" t="str">
        <f>J231</f>
        <v/>
      </c>
      <c r="E229" s="1"/>
      <c r="F229" s="1"/>
      <c r="G229" s="1"/>
      <c r="H229" s="1"/>
      <c r="I229" s="1"/>
      <c r="J229" s="1" t="s">
        <v>345</v>
      </c>
      <c r="K229" s="72">
        <f>K226*K228/10</f>
        <v>0</v>
      </c>
      <c r="L229" s="3"/>
      <c r="M229" s="1"/>
      <c r="N229" s="426"/>
      <c r="O229" s="426"/>
      <c r="P229" s="426"/>
      <c r="Q229" s="426"/>
    </row>
    <row r="230" spans="1:17" ht="13.5" thickTop="1" x14ac:dyDescent="0.2">
      <c r="A230" s="1"/>
      <c r="B230" s="1"/>
      <c r="C230" s="291" t="s">
        <v>995</v>
      </c>
      <c r="D230" s="1"/>
      <c r="E230" s="1"/>
      <c r="F230" s="1"/>
      <c r="G230" s="1"/>
      <c r="H230" s="1"/>
      <c r="I230" s="1"/>
      <c r="J230" s="1"/>
      <c r="K230" s="1"/>
      <c r="L230" s="3"/>
      <c r="M230" s="1"/>
      <c r="N230" s="426"/>
      <c r="O230" s="426"/>
      <c r="P230" s="426"/>
      <c r="Q230" s="426"/>
    </row>
    <row r="231" spans="1:17" x14ac:dyDescent="0.2">
      <c r="A231" s="1"/>
      <c r="B231" s="1"/>
      <c r="C231" s="1"/>
      <c r="D231" s="1"/>
      <c r="E231" s="1"/>
      <c r="F231" s="1"/>
      <c r="G231" s="1"/>
      <c r="H231" s="1"/>
      <c r="I231" s="1"/>
      <c r="J231" s="6" t="str">
        <f>IF(C229&gt;5.5,L231,"")</f>
        <v/>
      </c>
      <c r="K231" s="1"/>
      <c r="L231" s="3" t="s">
        <v>267</v>
      </c>
      <c r="M231" s="1"/>
      <c r="N231" s="426"/>
      <c r="O231" s="426"/>
      <c r="P231" s="426"/>
      <c r="Q231" s="426"/>
    </row>
    <row r="232" spans="1:17" x14ac:dyDescent="0.2">
      <c r="A232" s="1"/>
      <c r="B232" s="1"/>
      <c r="C232" s="1"/>
      <c r="D232" s="1"/>
      <c r="E232" s="1"/>
      <c r="F232" s="1"/>
      <c r="G232" s="1"/>
      <c r="H232" s="1"/>
      <c r="I232" s="1"/>
      <c r="J232" s="1"/>
      <c r="K232" s="1"/>
      <c r="L232" s="1"/>
      <c r="M232" s="1"/>
      <c r="N232" s="426"/>
      <c r="O232" s="426"/>
      <c r="P232" s="426"/>
      <c r="Q232" s="426"/>
    </row>
    <row r="233" spans="1:17" x14ac:dyDescent="0.2">
      <c r="A233" s="1"/>
      <c r="B233" s="1"/>
      <c r="C233" s="1"/>
      <c r="D233" s="1"/>
      <c r="E233" s="1"/>
      <c r="F233" s="1"/>
      <c r="G233" s="1"/>
      <c r="H233" s="1"/>
      <c r="I233" s="1"/>
      <c r="J233" s="1"/>
      <c r="K233" s="1"/>
      <c r="L233" s="1"/>
      <c r="M233" s="1"/>
      <c r="N233" s="426"/>
      <c r="O233" s="426"/>
      <c r="P233" s="426"/>
      <c r="Q233" s="426"/>
    </row>
    <row r="234" spans="1:17" x14ac:dyDescent="0.2">
      <c r="A234" s="1"/>
      <c r="B234" s="1"/>
      <c r="C234" s="1"/>
      <c r="D234" s="1"/>
      <c r="E234" s="1"/>
      <c r="F234" s="1"/>
      <c r="G234" s="1"/>
      <c r="H234" s="1"/>
      <c r="I234" s="1"/>
      <c r="J234" s="1"/>
      <c r="K234" s="1"/>
      <c r="L234" s="1"/>
      <c r="M234" s="1"/>
      <c r="N234" s="426"/>
      <c r="O234" s="426"/>
      <c r="P234" s="426"/>
      <c r="Q234" s="426"/>
    </row>
    <row r="235" spans="1:17" x14ac:dyDescent="0.2">
      <c r="A235" s="1"/>
      <c r="B235" s="1"/>
      <c r="C235" s="1"/>
      <c r="D235" s="1"/>
      <c r="E235" s="1"/>
      <c r="F235" s="1"/>
      <c r="G235" s="1"/>
      <c r="H235" s="1"/>
      <c r="I235" s="1"/>
      <c r="J235" s="1"/>
      <c r="K235" s="1"/>
      <c r="L235" s="1"/>
      <c r="M235" s="1"/>
      <c r="N235" s="426"/>
      <c r="O235" s="426"/>
      <c r="P235" s="426"/>
      <c r="Q235" s="426"/>
    </row>
    <row r="236" spans="1:17" x14ac:dyDescent="0.2">
      <c r="A236" s="1"/>
      <c r="B236" s="1"/>
      <c r="C236" s="1"/>
      <c r="D236" s="1"/>
      <c r="E236" s="1"/>
      <c r="F236" s="1"/>
      <c r="G236" s="1"/>
      <c r="H236" s="1"/>
      <c r="I236" s="1"/>
      <c r="J236" s="1"/>
      <c r="K236" s="1"/>
      <c r="L236" s="1"/>
      <c r="M236" s="1"/>
      <c r="N236" s="426"/>
      <c r="O236" s="426"/>
      <c r="P236" s="426"/>
      <c r="Q236" s="426"/>
    </row>
    <row r="237" spans="1:17" x14ac:dyDescent="0.2">
      <c r="A237" s="1"/>
      <c r="B237" s="1"/>
      <c r="C237" s="1"/>
      <c r="D237" s="1"/>
      <c r="E237" s="1"/>
      <c r="F237" s="1"/>
      <c r="G237" s="1"/>
      <c r="H237" s="1"/>
      <c r="I237" s="1"/>
      <c r="J237" s="1"/>
      <c r="K237" s="1"/>
      <c r="L237" s="1"/>
      <c r="M237" s="1"/>
      <c r="N237" s="426"/>
      <c r="O237" s="426"/>
      <c r="P237" s="426"/>
      <c r="Q237" s="426"/>
    </row>
    <row r="238" spans="1:17" x14ac:dyDescent="0.2">
      <c r="A238" s="1"/>
      <c r="B238" s="1"/>
      <c r="C238" s="1"/>
      <c r="D238" s="1"/>
      <c r="E238" s="1"/>
      <c r="F238" s="1"/>
      <c r="G238" s="1"/>
      <c r="H238" s="1"/>
      <c r="I238" s="1"/>
      <c r="J238" s="1"/>
      <c r="K238" s="1"/>
      <c r="L238" s="1"/>
      <c r="M238" s="1"/>
      <c r="N238" s="426"/>
      <c r="O238" s="426"/>
      <c r="P238" s="426"/>
      <c r="Q238" s="426"/>
    </row>
    <row r="239" spans="1:17" x14ac:dyDescent="0.2">
      <c r="A239" s="1"/>
      <c r="B239" s="1"/>
      <c r="C239" s="1"/>
      <c r="D239" s="1"/>
      <c r="E239" s="1"/>
      <c r="F239" s="1"/>
      <c r="G239" s="1"/>
      <c r="H239" s="1"/>
      <c r="I239" s="1"/>
      <c r="J239" s="1"/>
      <c r="K239" s="1"/>
      <c r="L239" s="1"/>
      <c r="M239" s="1"/>
      <c r="N239" s="426"/>
      <c r="O239" s="426"/>
      <c r="P239" s="426"/>
      <c r="Q239" s="426"/>
    </row>
    <row r="240" spans="1:17" x14ac:dyDescent="0.2">
      <c r="A240" s="1"/>
      <c r="B240" s="1"/>
      <c r="C240" s="1"/>
      <c r="D240" s="1"/>
      <c r="E240" s="1"/>
      <c r="F240" s="1"/>
      <c r="G240" s="1"/>
      <c r="H240" s="1"/>
      <c r="I240" s="1"/>
      <c r="J240" s="1"/>
      <c r="K240" s="1"/>
      <c r="L240" s="1"/>
      <c r="M240" s="1"/>
      <c r="N240" s="426"/>
      <c r="O240" s="426"/>
      <c r="P240" s="426"/>
      <c r="Q240" s="426"/>
    </row>
    <row r="241" spans="1:17" x14ac:dyDescent="0.2">
      <c r="A241" s="1"/>
      <c r="B241" s="1"/>
      <c r="C241" s="1"/>
      <c r="D241" s="1"/>
      <c r="E241" s="1"/>
      <c r="F241" s="1"/>
      <c r="G241" s="1"/>
      <c r="H241" s="1"/>
      <c r="I241" s="1"/>
      <c r="J241" s="1"/>
      <c r="K241" s="1"/>
      <c r="L241" s="1"/>
      <c r="M241" s="1"/>
      <c r="N241" s="426"/>
      <c r="O241" s="426"/>
      <c r="P241" s="426"/>
      <c r="Q241" s="426"/>
    </row>
    <row r="242" spans="1:17" x14ac:dyDescent="0.2">
      <c r="A242" s="1"/>
      <c r="B242" s="1"/>
      <c r="C242" s="1"/>
      <c r="D242" s="1"/>
      <c r="E242" s="1"/>
      <c r="F242" s="1"/>
      <c r="G242" s="1"/>
      <c r="H242" s="1"/>
      <c r="I242" s="1"/>
      <c r="J242" s="1"/>
      <c r="K242" s="1"/>
      <c r="L242" s="1"/>
      <c r="M242" s="1"/>
      <c r="N242" s="426"/>
      <c r="O242" s="426"/>
      <c r="P242" s="426"/>
      <c r="Q242" s="426"/>
    </row>
    <row r="243" spans="1:17" x14ac:dyDescent="0.2">
      <c r="A243" s="1"/>
      <c r="B243" s="1"/>
      <c r="C243" s="1"/>
      <c r="D243" s="1"/>
      <c r="E243" s="1"/>
      <c r="F243" s="1"/>
      <c r="G243" s="1"/>
      <c r="H243" s="1"/>
      <c r="I243" s="1"/>
      <c r="J243" s="1"/>
      <c r="K243" s="1"/>
      <c r="L243" s="1"/>
      <c r="M243" s="1"/>
      <c r="N243" s="426"/>
      <c r="O243" s="426"/>
      <c r="P243" s="426"/>
      <c r="Q243" s="426"/>
    </row>
    <row r="244" spans="1:17" x14ac:dyDescent="0.2">
      <c r="A244" s="1"/>
      <c r="B244" s="1"/>
      <c r="C244" s="1"/>
      <c r="D244" s="1"/>
      <c r="E244" s="1"/>
      <c r="F244" s="1"/>
      <c r="G244" s="1"/>
      <c r="H244" s="1"/>
      <c r="I244" s="1"/>
      <c r="J244" s="1"/>
      <c r="K244" s="1"/>
      <c r="L244" s="1"/>
      <c r="M244" s="1"/>
      <c r="N244" s="426"/>
      <c r="O244" s="426"/>
      <c r="P244" s="426"/>
      <c r="Q244" s="426"/>
    </row>
    <row r="245" spans="1:17" x14ac:dyDescent="0.2">
      <c r="A245" s="1"/>
      <c r="B245" s="1"/>
      <c r="C245" s="1"/>
      <c r="D245" s="1"/>
      <c r="E245" s="1"/>
      <c r="F245" s="1"/>
      <c r="G245" s="1"/>
      <c r="H245" s="1"/>
      <c r="I245" s="1"/>
      <c r="J245" s="1"/>
      <c r="K245" s="1"/>
      <c r="L245" s="1"/>
      <c r="M245" s="1"/>
      <c r="N245" s="426"/>
      <c r="O245" s="426"/>
      <c r="P245" s="426"/>
      <c r="Q245" s="426"/>
    </row>
    <row r="246" spans="1:17" x14ac:dyDescent="0.2">
      <c r="A246" s="1"/>
      <c r="B246" s="1"/>
      <c r="C246" s="1"/>
      <c r="D246" s="1"/>
      <c r="E246" s="1"/>
      <c r="F246" s="1"/>
      <c r="G246" s="1"/>
      <c r="H246" s="1"/>
      <c r="I246" s="1"/>
      <c r="J246" s="1"/>
      <c r="K246" s="1"/>
      <c r="L246" s="1"/>
      <c r="M246" s="1"/>
      <c r="N246" s="426"/>
      <c r="O246" s="426"/>
      <c r="P246" s="426"/>
      <c r="Q246" s="426"/>
    </row>
    <row r="247" spans="1:17" x14ac:dyDescent="0.2">
      <c r="A247" s="1"/>
      <c r="B247" s="1"/>
      <c r="C247" s="1"/>
      <c r="D247" s="1"/>
      <c r="E247" s="1"/>
      <c r="F247" s="1"/>
      <c r="G247" s="1"/>
      <c r="H247" s="1"/>
      <c r="I247" s="1"/>
      <c r="J247" s="1"/>
      <c r="K247" s="1"/>
      <c r="L247" s="1"/>
      <c r="M247" s="1"/>
      <c r="N247" s="426"/>
      <c r="O247" s="426"/>
      <c r="P247" s="426"/>
      <c r="Q247" s="426"/>
    </row>
    <row r="248" spans="1:17" x14ac:dyDescent="0.2">
      <c r="A248" s="1"/>
      <c r="B248" s="1"/>
      <c r="C248" s="1"/>
      <c r="D248" s="1"/>
      <c r="E248" s="1"/>
      <c r="F248" s="1"/>
      <c r="G248" s="1"/>
      <c r="H248" s="1"/>
      <c r="I248" s="1"/>
      <c r="J248" s="1"/>
      <c r="K248" s="1"/>
      <c r="L248" s="1"/>
      <c r="M248" s="1"/>
      <c r="N248" s="426"/>
      <c r="O248" s="426"/>
      <c r="P248" s="426"/>
      <c r="Q248" s="426"/>
    </row>
    <row r="249" spans="1:17" x14ac:dyDescent="0.2">
      <c r="A249" s="1"/>
      <c r="B249" s="1"/>
      <c r="C249" s="1"/>
      <c r="D249" s="1"/>
      <c r="E249" s="1"/>
      <c r="F249" s="1"/>
      <c r="G249" s="1"/>
      <c r="H249" s="1"/>
      <c r="I249" s="1"/>
      <c r="J249" s="1"/>
      <c r="K249" s="1"/>
      <c r="L249" s="1"/>
      <c r="M249" s="1"/>
      <c r="N249" s="426"/>
      <c r="O249" s="426"/>
      <c r="P249" s="426"/>
      <c r="Q249" s="426"/>
    </row>
    <row r="250" spans="1:17" x14ac:dyDescent="0.2">
      <c r="A250" s="1"/>
      <c r="B250" s="1"/>
      <c r="C250" s="1"/>
      <c r="D250" s="1"/>
      <c r="E250" s="1"/>
      <c r="F250" s="1"/>
      <c r="G250" s="1"/>
      <c r="H250" s="1"/>
      <c r="I250" s="1"/>
      <c r="J250" s="1"/>
      <c r="K250" s="1"/>
      <c r="L250" s="1"/>
      <c r="M250" s="1"/>
      <c r="N250" s="426"/>
      <c r="O250" s="426"/>
      <c r="P250" s="426"/>
      <c r="Q250" s="426"/>
    </row>
    <row r="251" spans="1:17" x14ac:dyDescent="0.2">
      <c r="A251" s="1"/>
      <c r="B251" s="1"/>
      <c r="C251" s="1"/>
      <c r="D251" s="1"/>
      <c r="E251" s="1"/>
      <c r="F251" s="1"/>
      <c r="G251" s="1"/>
      <c r="H251" s="1"/>
      <c r="I251" s="1"/>
      <c r="J251" s="1"/>
      <c r="K251" s="1"/>
      <c r="L251" s="1"/>
      <c r="M251" s="1"/>
      <c r="N251" s="426"/>
      <c r="O251" s="426"/>
      <c r="P251" s="426"/>
      <c r="Q251" s="426"/>
    </row>
    <row r="252" spans="1:17" x14ac:dyDescent="0.2">
      <c r="A252" s="1"/>
      <c r="B252" s="1"/>
      <c r="C252" s="1"/>
      <c r="D252" s="1"/>
      <c r="E252" s="1"/>
      <c r="F252" s="1"/>
      <c r="G252" s="1"/>
      <c r="H252" s="1"/>
      <c r="I252" s="1"/>
      <c r="J252" s="1"/>
      <c r="K252" s="1"/>
      <c r="L252" s="1"/>
      <c r="M252" s="1"/>
      <c r="N252" s="426"/>
      <c r="O252" s="426"/>
      <c r="P252" s="426"/>
      <c r="Q252" s="426"/>
    </row>
    <row r="253" spans="1:17" x14ac:dyDescent="0.2">
      <c r="A253" s="1"/>
      <c r="B253" s="1"/>
      <c r="C253" s="1"/>
      <c r="D253" s="1"/>
      <c r="E253" s="1"/>
      <c r="F253" s="1"/>
      <c r="G253" s="1"/>
      <c r="H253" s="1"/>
      <c r="I253" s="1"/>
      <c r="J253" s="1"/>
      <c r="K253" s="1"/>
      <c r="L253" s="1"/>
      <c r="M253" s="1"/>
      <c r="N253" s="426"/>
      <c r="O253" s="426"/>
      <c r="P253" s="426"/>
      <c r="Q253" s="426"/>
    </row>
    <row r="254" spans="1:17" x14ac:dyDescent="0.2">
      <c r="A254" s="1"/>
      <c r="B254" s="1"/>
      <c r="C254" s="1"/>
      <c r="D254" s="1"/>
      <c r="E254" s="1"/>
      <c r="F254" s="1"/>
      <c r="G254" s="1"/>
      <c r="H254" s="1"/>
      <c r="I254" s="1"/>
      <c r="J254" s="1"/>
      <c r="K254" s="1"/>
      <c r="L254" s="1"/>
      <c r="M254" s="1"/>
      <c r="N254" s="426"/>
      <c r="O254" s="426"/>
      <c r="P254" s="426"/>
      <c r="Q254" s="426"/>
    </row>
    <row r="255" spans="1:17" x14ac:dyDescent="0.2">
      <c r="A255" s="1"/>
      <c r="B255" s="1"/>
      <c r="C255" s="1"/>
      <c r="D255" s="1"/>
      <c r="E255" s="1"/>
      <c r="F255" s="1"/>
      <c r="G255" s="1"/>
      <c r="H255" s="1"/>
      <c r="I255" s="1"/>
      <c r="J255" s="1"/>
      <c r="K255" s="1"/>
      <c r="L255" s="1"/>
      <c r="M255" s="1"/>
      <c r="N255" s="426"/>
      <c r="O255" s="426"/>
      <c r="P255" s="426"/>
      <c r="Q255" s="426"/>
    </row>
    <row r="256" spans="1:17" x14ac:dyDescent="0.2">
      <c r="A256" s="1"/>
      <c r="B256" s="1"/>
      <c r="C256" s="1"/>
      <c r="D256" s="1"/>
      <c r="E256" s="1"/>
      <c r="F256" s="1"/>
      <c r="G256" s="1"/>
      <c r="H256" s="1"/>
      <c r="I256" s="1"/>
      <c r="J256" s="1"/>
      <c r="K256" s="1"/>
      <c r="L256" s="1"/>
      <c r="M256" s="1"/>
      <c r="N256" s="426"/>
      <c r="O256" s="426"/>
      <c r="P256" s="426"/>
      <c r="Q256" s="426"/>
    </row>
    <row r="257" spans="1:17" x14ac:dyDescent="0.2">
      <c r="A257" s="1"/>
      <c r="B257" s="1"/>
      <c r="C257" s="1"/>
      <c r="D257" s="1"/>
      <c r="E257" s="1"/>
      <c r="F257" s="1"/>
      <c r="G257" s="1"/>
      <c r="H257" s="1"/>
      <c r="I257" s="1"/>
      <c r="J257" s="1"/>
      <c r="K257" s="1"/>
      <c r="L257" s="1"/>
      <c r="M257" s="1"/>
      <c r="N257" s="426"/>
      <c r="O257" s="426"/>
      <c r="P257" s="426"/>
      <c r="Q257" s="426"/>
    </row>
    <row r="258" spans="1:17" x14ac:dyDescent="0.2">
      <c r="A258" s="1"/>
      <c r="B258" s="1"/>
      <c r="C258" s="1"/>
      <c r="D258" s="1"/>
      <c r="E258" s="1"/>
      <c r="F258" s="1"/>
      <c r="G258" s="1"/>
      <c r="H258" s="1"/>
      <c r="I258" s="1"/>
      <c r="J258" s="1"/>
      <c r="K258" s="1"/>
      <c r="L258" s="1"/>
      <c r="M258" s="1"/>
      <c r="N258" s="426"/>
      <c r="O258" s="426"/>
      <c r="P258" s="426"/>
      <c r="Q258" s="426"/>
    </row>
    <row r="259" spans="1:17" x14ac:dyDescent="0.2">
      <c r="A259" s="1"/>
      <c r="B259" s="1"/>
      <c r="C259" s="1"/>
      <c r="D259" s="1"/>
      <c r="E259" s="1"/>
      <c r="F259" s="1"/>
      <c r="G259" s="1"/>
      <c r="H259" s="1"/>
      <c r="I259" s="1"/>
      <c r="J259" s="1"/>
      <c r="K259" s="1"/>
      <c r="L259" s="1"/>
      <c r="M259" s="1"/>
      <c r="N259" s="426"/>
      <c r="O259" s="426"/>
      <c r="P259" s="426"/>
      <c r="Q259" s="426"/>
    </row>
    <row r="260" spans="1:17" x14ac:dyDescent="0.2">
      <c r="A260" s="1"/>
      <c r="B260" s="1"/>
      <c r="C260" s="1"/>
      <c r="D260" s="1"/>
      <c r="E260" s="1"/>
      <c r="F260" s="1"/>
      <c r="G260" s="1"/>
      <c r="H260" s="1"/>
      <c r="I260" s="1"/>
      <c r="J260" s="1"/>
      <c r="K260" s="1"/>
      <c r="L260" s="1"/>
      <c r="M260" s="1"/>
      <c r="N260" s="426"/>
      <c r="O260" s="426"/>
      <c r="P260" s="426"/>
      <c r="Q260" s="426"/>
    </row>
    <row r="261" spans="1:17" x14ac:dyDescent="0.2">
      <c r="A261" s="1"/>
      <c r="B261" s="1"/>
      <c r="C261" s="1"/>
      <c r="D261" s="1"/>
      <c r="E261" s="1"/>
      <c r="F261" s="1"/>
      <c r="G261" s="1"/>
      <c r="H261" s="1"/>
      <c r="I261" s="1"/>
      <c r="J261" s="1"/>
      <c r="K261" s="1"/>
      <c r="L261" s="1"/>
      <c r="M261" s="1"/>
      <c r="N261" s="426"/>
      <c r="O261" s="426"/>
      <c r="P261" s="426"/>
      <c r="Q261" s="426"/>
    </row>
    <row r="262" spans="1:17" x14ac:dyDescent="0.2">
      <c r="A262" s="1"/>
      <c r="B262" s="1"/>
      <c r="C262" s="1"/>
      <c r="D262" s="1"/>
      <c r="E262" s="1"/>
      <c r="F262" s="1"/>
      <c r="G262" s="1"/>
      <c r="H262" s="1"/>
      <c r="I262" s="1"/>
      <c r="J262" s="1"/>
      <c r="K262" s="1"/>
      <c r="L262" s="1"/>
      <c r="M262" s="1"/>
      <c r="N262" s="426"/>
      <c r="O262" s="426"/>
      <c r="P262" s="426"/>
      <c r="Q262" s="426"/>
    </row>
    <row r="263" spans="1:17" x14ac:dyDescent="0.2">
      <c r="A263" s="1"/>
      <c r="B263" s="1"/>
      <c r="C263" s="1"/>
      <c r="D263" s="1"/>
      <c r="E263" s="1"/>
      <c r="F263" s="1"/>
      <c r="G263" s="1"/>
      <c r="H263" s="1"/>
      <c r="I263" s="1"/>
      <c r="J263" s="1"/>
      <c r="K263" s="1"/>
      <c r="L263" s="1"/>
      <c r="M263" s="1"/>
      <c r="N263" s="426"/>
      <c r="O263" s="426"/>
      <c r="P263" s="426"/>
      <c r="Q263" s="426"/>
    </row>
    <row r="264" spans="1:17" x14ac:dyDescent="0.2">
      <c r="A264" s="1"/>
      <c r="B264" s="1"/>
      <c r="C264" s="1"/>
      <c r="D264" s="1"/>
      <c r="E264" s="1"/>
      <c r="F264" s="1"/>
      <c r="G264" s="1"/>
      <c r="H264" s="1"/>
      <c r="I264" s="1"/>
      <c r="J264" s="1"/>
      <c r="K264" s="1"/>
      <c r="L264" s="1"/>
      <c r="M264" s="1"/>
      <c r="N264" s="426"/>
      <c r="O264" s="426"/>
      <c r="P264" s="426"/>
      <c r="Q264" s="426"/>
    </row>
    <row r="265" spans="1:17" x14ac:dyDescent="0.2">
      <c r="A265" s="1"/>
      <c r="B265" s="1"/>
      <c r="C265" s="1"/>
      <c r="D265" s="1"/>
      <c r="E265" s="1"/>
      <c r="F265" s="1"/>
      <c r="G265" s="1"/>
      <c r="H265" s="1"/>
      <c r="I265" s="1"/>
      <c r="J265" s="1"/>
      <c r="K265" s="1"/>
      <c r="L265" s="1"/>
      <c r="M265" s="1"/>
      <c r="N265" s="426"/>
      <c r="O265" s="426"/>
      <c r="P265" s="426"/>
      <c r="Q265" s="426"/>
    </row>
    <row r="266" spans="1:17" x14ac:dyDescent="0.2">
      <c r="A266" s="1"/>
      <c r="B266" s="1"/>
      <c r="C266" s="1"/>
      <c r="D266" s="1"/>
      <c r="E266" s="1"/>
      <c r="F266" s="1"/>
      <c r="G266" s="1"/>
      <c r="H266" s="1"/>
      <c r="I266" s="1"/>
      <c r="J266" s="1"/>
      <c r="K266" s="1"/>
      <c r="L266" s="1"/>
      <c r="M266" s="1"/>
      <c r="N266" s="426"/>
      <c r="O266" s="426"/>
      <c r="P266" s="426"/>
      <c r="Q266" s="426"/>
    </row>
    <row r="267" spans="1:17" x14ac:dyDescent="0.2">
      <c r="A267" s="1"/>
      <c r="B267" s="1"/>
      <c r="C267" s="1"/>
      <c r="D267" s="1"/>
      <c r="E267" s="1"/>
      <c r="F267" s="1"/>
      <c r="G267" s="1"/>
      <c r="H267" s="1"/>
      <c r="I267" s="1"/>
      <c r="J267" s="1"/>
      <c r="K267" s="1"/>
      <c r="L267" s="1"/>
      <c r="M267" s="1"/>
      <c r="N267" s="426"/>
      <c r="O267" s="426"/>
      <c r="P267" s="426"/>
      <c r="Q267" s="426"/>
    </row>
    <row r="268" spans="1:17" x14ac:dyDescent="0.2">
      <c r="A268" s="1"/>
      <c r="B268" s="1"/>
      <c r="C268" s="1"/>
      <c r="D268" s="1"/>
      <c r="E268" s="1"/>
      <c r="F268" s="1"/>
      <c r="G268" s="1"/>
      <c r="H268" s="1"/>
      <c r="I268" s="1"/>
      <c r="J268" s="1"/>
      <c r="K268" s="1"/>
      <c r="L268" s="1"/>
      <c r="M268" s="1"/>
      <c r="N268" s="426"/>
      <c r="O268" s="426"/>
      <c r="P268" s="426"/>
      <c r="Q268" s="426"/>
    </row>
    <row r="269" spans="1:17" x14ac:dyDescent="0.2">
      <c r="A269" s="1"/>
      <c r="B269" s="1"/>
      <c r="C269" s="1"/>
      <c r="D269" s="1"/>
      <c r="E269" s="1"/>
      <c r="F269" s="1"/>
      <c r="G269" s="1"/>
      <c r="H269" s="1"/>
      <c r="I269" s="1"/>
      <c r="J269" s="1"/>
      <c r="K269" s="1"/>
      <c r="L269" s="1"/>
      <c r="M269" s="1"/>
      <c r="N269" s="426"/>
      <c r="O269" s="426"/>
      <c r="P269" s="426"/>
      <c r="Q269" s="426"/>
    </row>
    <row r="270" spans="1:17" x14ac:dyDescent="0.2">
      <c r="A270" s="1"/>
      <c r="B270" s="1"/>
      <c r="C270" s="1"/>
      <c r="D270" s="1"/>
      <c r="E270" s="1"/>
      <c r="F270" s="1"/>
      <c r="G270" s="1"/>
      <c r="H270" s="1"/>
      <c r="I270" s="1"/>
      <c r="J270" s="1"/>
      <c r="K270" s="1"/>
      <c r="L270" s="1"/>
      <c r="M270" s="1"/>
      <c r="N270" s="426"/>
      <c r="O270" s="426"/>
      <c r="P270" s="426"/>
      <c r="Q270" s="426"/>
    </row>
    <row r="271" spans="1:17" x14ac:dyDescent="0.2">
      <c r="A271" s="1"/>
      <c r="B271" s="1"/>
      <c r="C271" s="1"/>
      <c r="D271" s="1"/>
      <c r="E271" s="1"/>
      <c r="F271" s="1"/>
      <c r="G271" s="1"/>
      <c r="H271" s="1"/>
      <c r="I271" s="1"/>
      <c r="J271" s="1"/>
      <c r="K271" s="1"/>
      <c r="L271" s="1"/>
      <c r="M271" s="1"/>
      <c r="N271" s="426"/>
      <c r="O271" s="426"/>
      <c r="P271" s="426"/>
      <c r="Q271" s="426"/>
    </row>
    <row r="272" spans="1:17" x14ac:dyDescent="0.2">
      <c r="A272" s="1"/>
      <c r="B272" s="1"/>
      <c r="C272" s="1"/>
      <c r="D272" s="1"/>
      <c r="E272" s="1"/>
      <c r="F272" s="1"/>
      <c r="G272" s="1"/>
      <c r="H272" s="1"/>
      <c r="I272" s="1"/>
      <c r="J272" s="1"/>
      <c r="K272" s="1"/>
      <c r="L272" s="1"/>
      <c r="M272" s="1"/>
      <c r="N272" s="426"/>
      <c r="O272" s="426"/>
      <c r="P272" s="426"/>
      <c r="Q272" s="426"/>
    </row>
    <row r="273" spans="1:17" x14ac:dyDescent="0.2">
      <c r="A273" s="1"/>
      <c r="B273" s="1"/>
      <c r="C273" s="1"/>
      <c r="D273" s="1"/>
      <c r="E273" s="1"/>
      <c r="F273" s="1"/>
      <c r="G273" s="1"/>
      <c r="H273" s="1"/>
      <c r="I273" s="1"/>
      <c r="J273" s="1"/>
      <c r="K273" s="1"/>
      <c r="L273" s="1"/>
      <c r="M273" s="1"/>
      <c r="N273" s="426"/>
      <c r="O273" s="426"/>
      <c r="P273" s="426"/>
      <c r="Q273" s="426"/>
    </row>
    <row r="274" spans="1:17" x14ac:dyDescent="0.2">
      <c r="A274" s="1"/>
      <c r="B274" s="1"/>
      <c r="C274" s="1"/>
      <c r="D274" s="1"/>
      <c r="E274" s="1"/>
      <c r="F274" s="1"/>
      <c r="G274" s="1"/>
      <c r="H274" s="1"/>
      <c r="I274" s="1"/>
      <c r="J274" s="1"/>
      <c r="K274" s="1"/>
      <c r="L274" s="1"/>
      <c r="M274" s="1"/>
      <c r="N274" s="426"/>
      <c r="O274" s="426"/>
      <c r="P274" s="426"/>
      <c r="Q274" s="426"/>
    </row>
    <row r="275" spans="1:17" x14ac:dyDescent="0.2">
      <c r="A275" s="1"/>
      <c r="B275" s="1"/>
      <c r="C275" s="1"/>
      <c r="D275" s="1"/>
      <c r="E275" s="1"/>
      <c r="F275" s="1"/>
      <c r="G275" s="1"/>
      <c r="H275" s="1"/>
      <c r="I275" s="1"/>
      <c r="J275" s="1"/>
      <c r="K275" s="1"/>
      <c r="L275" s="1"/>
      <c r="M275" s="1"/>
      <c r="N275" s="426"/>
      <c r="O275" s="426"/>
      <c r="P275" s="426"/>
      <c r="Q275" s="426"/>
    </row>
    <row r="276" spans="1:17" x14ac:dyDescent="0.2">
      <c r="A276" s="1"/>
      <c r="B276" s="1"/>
      <c r="C276" s="1"/>
      <c r="D276" s="1"/>
      <c r="E276" s="1"/>
      <c r="F276" s="1"/>
      <c r="G276" s="1"/>
      <c r="H276" s="1"/>
      <c r="I276" s="1"/>
      <c r="J276" s="1"/>
      <c r="K276" s="1"/>
      <c r="L276" s="1"/>
      <c r="M276" s="1"/>
      <c r="N276" s="426"/>
      <c r="O276" s="426"/>
      <c r="P276" s="426"/>
      <c r="Q276" s="426"/>
    </row>
    <row r="277" spans="1:17" x14ac:dyDescent="0.2">
      <c r="A277" s="1"/>
      <c r="B277" s="1"/>
      <c r="C277" s="1"/>
      <c r="D277" s="1"/>
      <c r="E277" s="1"/>
      <c r="F277" s="1"/>
      <c r="G277" s="1"/>
      <c r="H277" s="1"/>
      <c r="I277" s="1"/>
      <c r="J277" s="1"/>
      <c r="K277" s="1"/>
      <c r="L277" s="1"/>
      <c r="M277" s="1"/>
      <c r="N277" s="426"/>
      <c r="O277" s="426"/>
      <c r="P277" s="426"/>
      <c r="Q277" s="426"/>
    </row>
    <row r="278" spans="1:17" x14ac:dyDescent="0.2">
      <c r="A278" s="1"/>
      <c r="B278" s="1"/>
      <c r="C278" s="1"/>
      <c r="D278" s="1"/>
      <c r="E278" s="1"/>
      <c r="F278" s="1"/>
      <c r="G278" s="1"/>
      <c r="H278" s="1"/>
      <c r="I278" s="1"/>
      <c r="J278" s="1"/>
      <c r="K278" s="1"/>
      <c r="L278" s="1"/>
      <c r="M278" s="1"/>
      <c r="N278" s="426"/>
      <c r="O278" s="426"/>
      <c r="P278" s="426"/>
      <c r="Q278" s="426"/>
    </row>
    <row r="279" spans="1:17" x14ac:dyDescent="0.2">
      <c r="A279" s="1"/>
      <c r="B279" s="1"/>
      <c r="C279" s="1"/>
      <c r="D279" s="1"/>
      <c r="E279" s="1"/>
      <c r="F279" s="1"/>
      <c r="G279" s="1"/>
      <c r="H279" s="1"/>
      <c r="I279" s="1"/>
      <c r="J279" s="1"/>
      <c r="K279" s="1"/>
      <c r="L279" s="1"/>
      <c r="M279" s="1"/>
      <c r="N279" s="426"/>
      <c r="O279" s="426"/>
      <c r="P279" s="426"/>
      <c r="Q279" s="426"/>
    </row>
    <row r="280" spans="1:17" x14ac:dyDescent="0.2">
      <c r="A280" s="1"/>
      <c r="B280" s="1"/>
      <c r="C280" s="1"/>
      <c r="D280" s="1"/>
      <c r="E280" s="1"/>
      <c r="F280" s="1"/>
      <c r="G280" s="1"/>
      <c r="H280" s="1"/>
      <c r="I280" s="1"/>
      <c r="J280" s="1"/>
      <c r="K280" s="1"/>
      <c r="L280" s="1"/>
      <c r="M280" s="1"/>
      <c r="N280" s="426"/>
      <c r="O280" s="426"/>
      <c r="P280" s="426"/>
      <c r="Q280" s="426"/>
    </row>
    <row r="281" spans="1:17" x14ac:dyDescent="0.2">
      <c r="A281" s="1"/>
      <c r="B281" s="1"/>
      <c r="C281" s="1"/>
      <c r="D281" s="1"/>
      <c r="E281" s="1"/>
      <c r="F281" s="1"/>
      <c r="G281" s="1"/>
      <c r="H281" s="1"/>
      <c r="I281" s="1"/>
      <c r="J281" s="1"/>
      <c r="K281" s="1"/>
      <c r="L281" s="1"/>
      <c r="M281" s="1"/>
      <c r="N281" s="426"/>
      <c r="O281" s="426"/>
      <c r="P281" s="426"/>
      <c r="Q281" s="426"/>
    </row>
    <row r="282" spans="1:17" x14ac:dyDescent="0.2">
      <c r="A282" s="1"/>
      <c r="B282" s="1"/>
      <c r="C282" s="1"/>
      <c r="D282" s="1"/>
      <c r="E282" s="1"/>
      <c r="F282" s="1"/>
      <c r="G282" s="1"/>
      <c r="H282" s="1"/>
      <c r="I282" s="1"/>
      <c r="J282" s="1"/>
      <c r="K282" s="1"/>
      <c r="L282" s="1"/>
      <c r="M282" s="1"/>
      <c r="N282" s="426"/>
      <c r="O282" s="426"/>
      <c r="P282" s="426"/>
      <c r="Q282" s="426"/>
    </row>
    <row r="283" spans="1:17" x14ac:dyDescent="0.2">
      <c r="A283" s="1"/>
      <c r="B283" s="1"/>
      <c r="C283" s="1"/>
      <c r="D283" s="1"/>
      <c r="E283" s="1"/>
      <c r="F283" s="1"/>
      <c r="G283" s="1"/>
      <c r="H283" s="1"/>
      <c r="I283" s="1"/>
      <c r="J283" s="1"/>
      <c r="K283" s="1"/>
      <c r="L283" s="1"/>
      <c r="M283" s="1"/>
      <c r="N283" s="426"/>
      <c r="O283" s="426"/>
      <c r="P283" s="426"/>
      <c r="Q283" s="426"/>
    </row>
    <row r="284" spans="1:17" x14ac:dyDescent="0.2">
      <c r="A284" s="1"/>
      <c r="B284" s="1"/>
      <c r="C284" s="1"/>
      <c r="D284" s="1"/>
      <c r="E284" s="1"/>
      <c r="F284" s="1"/>
      <c r="G284" s="1"/>
      <c r="H284" s="1"/>
      <c r="I284" s="1"/>
      <c r="J284" s="1"/>
      <c r="K284" s="1"/>
      <c r="L284" s="1"/>
      <c r="M284" s="1"/>
      <c r="N284" s="426"/>
      <c r="O284" s="426"/>
      <c r="P284" s="426"/>
      <c r="Q284" s="426"/>
    </row>
    <row r="285" spans="1:17" x14ac:dyDescent="0.2">
      <c r="A285" s="1"/>
      <c r="B285" s="1"/>
      <c r="C285" s="1"/>
      <c r="D285" s="1"/>
      <c r="E285" s="1"/>
      <c r="F285" s="1"/>
      <c r="G285" s="1"/>
      <c r="H285" s="1"/>
      <c r="I285" s="1"/>
      <c r="J285" s="1"/>
      <c r="K285" s="1"/>
      <c r="L285" s="1"/>
      <c r="M285" s="1"/>
      <c r="N285" s="426"/>
      <c r="O285" s="426"/>
      <c r="P285" s="426"/>
      <c r="Q285" s="426"/>
    </row>
    <row r="286" spans="1:17" x14ac:dyDescent="0.2">
      <c r="A286" s="1"/>
      <c r="B286" s="1"/>
      <c r="C286" s="1"/>
      <c r="D286" s="1"/>
      <c r="E286" s="1"/>
      <c r="F286" s="1"/>
      <c r="G286" s="1"/>
      <c r="H286" s="1"/>
      <c r="I286" s="1"/>
      <c r="J286" s="1"/>
      <c r="K286" s="1"/>
      <c r="L286" s="1"/>
      <c r="M286" s="1"/>
      <c r="N286" s="426"/>
      <c r="O286" s="426"/>
      <c r="P286" s="426"/>
      <c r="Q286" s="426"/>
    </row>
    <row r="287" spans="1:17" x14ac:dyDescent="0.2">
      <c r="A287" s="1"/>
      <c r="B287" s="1"/>
      <c r="C287" s="1"/>
      <c r="D287" s="1"/>
      <c r="E287" s="1"/>
      <c r="F287" s="1"/>
      <c r="G287" s="1"/>
      <c r="H287" s="1"/>
      <c r="I287" s="1"/>
      <c r="J287" s="1"/>
      <c r="K287" s="1"/>
      <c r="L287" s="1"/>
      <c r="M287" s="1"/>
      <c r="N287" s="426"/>
      <c r="O287" s="426"/>
      <c r="P287" s="426"/>
      <c r="Q287" s="426"/>
    </row>
    <row r="288" spans="1:17" x14ac:dyDescent="0.2">
      <c r="A288" s="1"/>
      <c r="B288" s="1"/>
      <c r="C288" s="1"/>
      <c r="D288" s="1"/>
      <c r="E288" s="1"/>
      <c r="F288" s="1"/>
      <c r="G288" s="1"/>
      <c r="H288" s="1"/>
      <c r="I288" s="1"/>
      <c r="J288" s="1"/>
      <c r="K288" s="1"/>
      <c r="L288" s="1"/>
      <c r="M288" s="1"/>
      <c r="N288" s="426"/>
      <c r="O288" s="426"/>
      <c r="P288" s="426"/>
      <c r="Q288" s="426"/>
    </row>
    <row r="289" spans="1:17" x14ac:dyDescent="0.2">
      <c r="A289" s="1"/>
      <c r="B289" s="1"/>
      <c r="C289" s="1"/>
      <c r="D289" s="1"/>
      <c r="E289" s="1"/>
      <c r="F289" s="1"/>
      <c r="G289" s="1"/>
      <c r="H289" s="1"/>
      <c r="I289" s="1"/>
      <c r="J289" s="1"/>
      <c r="K289" s="1"/>
      <c r="L289" s="1"/>
      <c r="M289" s="1"/>
      <c r="N289" s="426"/>
      <c r="O289" s="426"/>
      <c r="P289" s="426"/>
      <c r="Q289" s="426"/>
    </row>
    <row r="290" spans="1:17" x14ac:dyDescent="0.2">
      <c r="A290" s="1"/>
      <c r="B290" s="1"/>
      <c r="C290" s="1"/>
      <c r="D290" s="1"/>
      <c r="E290" s="1"/>
      <c r="F290" s="1"/>
      <c r="G290" s="1"/>
      <c r="H290" s="1"/>
      <c r="I290" s="1"/>
      <c r="J290" s="1"/>
      <c r="K290" s="1"/>
      <c r="L290" s="1"/>
      <c r="M290" s="1"/>
      <c r="N290" s="426"/>
      <c r="O290" s="426"/>
      <c r="P290" s="426"/>
      <c r="Q290" s="426"/>
    </row>
    <row r="291" spans="1:17" x14ac:dyDescent="0.2">
      <c r="A291" s="1"/>
      <c r="B291" s="1"/>
      <c r="C291" s="1"/>
      <c r="D291" s="1"/>
      <c r="E291" s="1"/>
      <c r="F291" s="1"/>
      <c r="G291" s="1"/>
      <c r="H291" s="1"/>
      <c r="I291" s="1"/>
      <c r="J291" s="1"/>
      <c r="K291" s="1"/>
      <c r="L291" s="1"/>
      <c r="M291" s="1"/>
      <c r="N291" s="426"/>
      <c r="O291" s="426"/>
      <c r="P291" s="426"/>
      <c r="Q291" s="426"/>
    </row>
    <row r="292" spans="1:17" x14ac:dyDescent="0.2">
      <c r="A292" s="1"/>
      <c r="B292" s="1"/>
      <c r="C292" s="1"/>
      <c r="D292" s="1"/>
      <c r="E292" s="1"/>
      <c r="F292" s="1"/>
      <c r="G292" s="1"/>
      <c r="H292" s="1"/>
      <c r="I292" s="1"/>
      <c r="J292" s="1"/>
      <c r="K292" s="1"/>
      <c r="L292" s="1"/>
      <c r="M292" s="1"/>
      <c r="N292" s="426"/>
      <c r="O292" s="426"/>
      <c r="P292" s="426"/>
      <c r="Q292" s="426"/>
    </row>
    <row r="293" spans="1:17" x14ac:dyDescent="0.2">
      <c r="A293" s="1"/>
      <c r="B293" s="1"/>
      <c r="C293" s="1"/>
      <c r="D293" s="1"/>
      <c r="E293" s="1"/>
      <c r="F293" s="1"/>
      <c r="G293" s="1"/>
      <c r="H293" s="1"/>
      <c r="I293" s="1"/>
      <c r="J293" s="1"/>
      <c r="K293" s="1"/>
      <c r="L293" s="1"/>
      <c r="M293" s="1"/>
      <c r="N293" s="426"/>
      <c r="O293" s="426"/>
      <c r="P293" s="426"/>
      <c r="Q293" s="426"/>
    </row>
    <row r="294" spans="1:17" x14ac:dyDescent="0.2">
      <c r="A294" s="1"/>
      <c r="B294" s="1"/>
      <c r="C294" s="1"/>
      <c r="D294" s="1"/>
      <c r="E294" s="1"/>
      <c r="F294" s="1"/>
      <c r="G294" s="1"/>
      <c r="H294" s="1"/>
      <c r="I294" s="1"/>
      <c r="J294" s="1"/>
      <c r="K294" s="1"/>
      <c r="L294" s="1"/>
      <c r="M294" s="1"/>
      <c r="N294" s="426"/>
      <c r="O294" s="426"/>
      <c r="P294" s="426"/>
      <c r="Q294" s="426"/>
    </row>
    <row r="295" spans="1:17" x14ac:dyDescent="0.2">
      <c r="A295" s="1"/>
      <c r="B295" s="1"/>
      <c r="C295" s="1"/>
      <c r="D295" s="1"/>
      <c r="E295" s="1"/>
      <c r="F295" s="1"/>
      <c r="G295" s="1"/>
      <c r="H295" s="1"/>
      <c r="I295" s="1"/>
      <c r="J295" s="1"/>
      <c r="K295" s="1"/>
      <c r="L295" s="1"/>
      <c r="M295" s="1"/>
      <c r="N295" s="426"/>
      <c r="O295" s="426"/>
      <c r="P295" s="426"/>
      <c r="Q295" s="426"/>
    </row>
    <row r="296" spans="1:17" x14ac:dyDescent="0.2">
      <c r="A296" s="1"/>
      <c r="B296" s="1"/>
      <c r="C296" s="1"/>
      <c r="D296" s="1"/>
      <c r="E296" s="1"/>
      <c r="F296" s="1"/>
      <c r="G296" s="1"/>
      <c r="H296" s="1"/>
      <c r="I296" s="1"/>
      <c r="J296" s="1"/>
      <c r="K296" s="1"/>
      <c r="L296" s="1"/>
      <c r="M296" s="1"/>
      <c r="N296" s="426"/>
      <c r="O296" s="426"/>
      <c r="P296" s="426"/>
      <c r="Q296" s="426"/>
    </row>
    <row r="297" spans="1:17" x14ac:dyDescent="0.2">
      <c r="A297" s="1"/>
      <c r="B297" s="1"/>
      <c r="C297" s="1"/>
      <c r="D297" s="1"/>
      <c r="E297" s="1"/>
      <c r="F297" s="1"/>
      <c r="G297" s="1"/>
      <c r="H297" s="1"/>
      <c r="I297" s="1"/>
      <c r="J297" s="1"/>
      <c r="K297" s="1"/>
      <c r="L297" s="1"/>
      <c r="M297" s="1"/>
      <c r="N297" s="426"/>
      <c r="O297" s="426"/>
      <c r="P297" s="426"/>
      <c r="Q297" s="426"/>
    </row>
    <row r="298" spans="1:17" x14ac:dyDescent="0.2">
      <c r="A298" s="1"/>
      <c r="B298" s="1"/>
      <c r="C298" s="1"/>
      <c r="D298" s="1"/>
      <c r="E298" s="1"/>
      <c r="F298" s="1"/>
      <c r="G298" s="1"/>
      <c r="H298" s="1"/>
      <c r="I298" s="1"/>
      <c r="J298" s="1"/>
      <c r="K298" s="1"/>
      <c r="L298" s="1"/>
      <c r="M298" s="1"/>
      <c r="N298" s="426"/>
      <c r="O298" s="426"/>
      <c r="P298" s="426"/>
      <c r="Q298" s="426"/>
    </row>
    <row r="299" spans="1:17" x14ac:dyDescent="0.2">
      <c r="A299" s="1"/>
      <c r="B299" s="1"/>
      <c r="C299" s="1"/>
      <c r="D299" s="1"/>
      <c r="E299" s="1"/>
      <c r="F299" s="1"/>
      <c r="G299" s="1"/>
      <c r="H299" s="1"/>
      <c r="I299" s="1"/>
      <c r="J299" s="1"/>
      <c r="K299" s="1"/>
      <c r="L299" s="1"/>
      <c r="M299" s="1"/>
      <c r="N299" s="426"/>
      <c r="O299" s="426"/>
      <c r="P299" s="426"/>
      <c r="Q299" s="426"/>
    </row>
    <row r="300" spans="1:17" x14ac:dyDescent="0.2">
      <c r="A300" s="1"/>
      <c r="B300" s="1"/>
      <c r="C300" s="1"/>
      <c r="D300" s="1"/>
      <c r="E300" s="1"/>
      <c r="F300" s="1"/>
      <c r="G300" s="1"/>
      <c r="H300" s="1"/>
      <c r="I300" s="1"/>
      <c r="J300" s="1"/>
      <c r="K300" s="1"/>
      <c r="L300" s="1"/>
      <c r="M300" s="1"/>
      <c r="N300" s="426"/>
      <c r="O300" s="426"/>
      <c r="P300" s="426"/>
      <c r="Q300" s="426"/>
    </row>
    <row r="301" spans="1:17" x14ac:dyDescent="0.2">
      <c r="A301" s="1"/>
      <c r="B301" s="1"/>
      <c r="C301" s="1"/>
      <c r="D301" s="1"/>
      <c r="E301" s="1"/>
      <c r="F301" s="1"/>
      <c r="G301" s="1"/>
      <c r="H301" s="1"/>
      <c r="I301" s="1"/>
      <c r="J301" s="1"/>
      <c r="K301" s="1"/>
      <c r="L301" s="1"/>
      <c r="M301" s="1"/>
      <c r="N301" s="426"/>
      <c r="O301" s="426"/>
      <c r="P301" s="426"/>
      <c r="Q301" s="426"/>
    </row>
    <row r="302" spans="1:17" x14ac:dyDescent="0.2">
      <c r="A302" s="1"/>
      <c r="B302" s="1"/>
      <c r="C302" s="1"/>
      <c r="D302" s="1"/>
      <c r="E302" s="1"/>
      <c r="F302" s="1"/>
      <c r="G302" s="1"/>
      <c r="H302" s="1"/>
      <c r="I302" s="1"/>
      <c r="J302" s="1"/>
      <c r="K302" s="1"/>
      <c r="L302" s="1"/>
      <c r="M302" s="1"/>
      <c r="N302" s="426"/>
      <c r="O302" s="426"/>
      <c r="P302" s="426"/>
      <c r="Q302" s="426"/>
    </row>
    <row r="303" spans="1:17" x14ac:dyDescent="0.2">
      <c r="A303" s="1"/>
      <c r="B303" s="1"/>
      <c r="C303" s="1"/>
      <c r="D303" s="1"/>
      <c r="E303" s="1"/>
      <c r="F303" s="1"/>
      <c r="G303" s="1"/>
      <c r="H303" s="1"/>
      <c r="I303" s="1"/>
      <c r="J303" s="1"/>
      <c r="K303" s="1"/>
      <c r="L303" s="1"/>
      <c r="M303" s="1"/>
      <c r="N303" s="426"/>
      <c r="O303" s="426"/>
      <c r="P303" s="426"/>
      <c r="Q303" s="426"/>
    </row>
    <row r="304" spans="1:17" x14ac:dyDescent="0.2">
      <c r="A304" s="1"/>
      <c r="B304" s="1"/>
      <c r="C304" s="1"/>
      <c r="D304" s="1"/>
      <c r="E304" s="1"/>
      <c r="F304" s="1"/>
      <c r="G304" s="1"/>
      <c r="H304" s="1"/>
      <c r="I304" s="1"/>
      <c r="J304" s="1"/>
      <c r="K304" s="1"/>
      <c r="L304" s="1"/>
      <c r="M304" s="1"/>
      <c r="N304" s="426"/>
      <c r="O304" s="426"/>
      <c r="P304" s="426"/>
      <c r="Q304" s="426"/>
    </row>
    <row r="305" spans="1:17" x14ac:dyDescent="0.2">
      <c r="A305" s="1"/>
      <c r="B305" s="1"/>
      <c r="C305" s="1"/>
      <c r="D305" s="1"/>
      <c r="E305" s="1"/>
      <c r="F305" s="1"/>
      <c r="G305" s="1"/>
      <c r="H305" s="1"/>
      <c r="I305" s="1"/>
      <c r="J305" s="1"/>
      <c r="K305" s="1"/>
      <c r="L305" s="1"/>
      <c r="M305" s="1"/>
      <c r="N305" s="426"/>
      <c r="O305" s="426"/>
      <c r="P305" s="426"/>
      <c r="Q305" s="426"/>
    </row>
    <row r="306" spans="1:17" x14ac:dyDescent="0.2">
      <c r="A306" s="1"/>
      <c r="B306" s="1"/>
      <c r="C306" s="1"/>
      <c r="D306" s="1"/>
      <c r="E306" s="1"/>
      <c r="F306" s="1"/>
      <c r="G306" s="1"/>
      <c r="H306" s="1"/>
      <c r="I306" s="1"/>
      <c r="J306" s="1"/>
      <c r="K306" s="1"/>
      <c r="L306" s="1"/>
      <c r="M306" s="1"/>
      <c r="N306" s="426"/>
      <c r="O306" s="426"/>
      <c r="P306" s="426"/>
      <c r="Q306" s="426"/>
    </row>
    <row r="307" spans="1:17" x14ac:dyDescent="0.2">
      <c r="A307" s="1"/>
      <c r="B307" s="1"/>
      <c r="C307" s="1"/>
      <c r="D307" s="1"/>
      <c r="E307" s="1"/>
      <c r="F307" s="1"/>
      <c r="G307" s="1"/>
      <c r="H307" s="1"/>
      <c r="I307" s="1"/>
      <c r="J307" s="1"/>
      <c r="K307" s="1"/>
      <c r="L307" s="1"/>
      <c r="M307" s="1"/>
      <c r="N307" s="426"/>
      <c r="O307" s="426"/>
      <c r="P307" s="426"/>
      <c r="Q307" s="426"/>
    </row>
    <row r="308" spans="1:17" x14ac:dyDescent="0.2">
      <c r="A308" s="1"/>
      <c r="B308" s="1"/>
      <c r="C308" s="1"/>
      <c r="D308" s="1"/>
      <c r="E308" s="1"/>
      <c r="F308" s="1"/>
      <c r="G308" s="1"/>
      <c r="H308" s="1"/>
      <c r="I308" s="1"/>
      <c r="J308" s="1"/>
      <c r="K308" s="1"/>
      <c r="L308" s="1"/>
      <c r="M308" s="1"/>
      <c r="N308" s="426"/>
      <c r="O308" s="426"/>
      <c r="P308" s="426"/>
      <c r="Q308" s="426"/>
    </row>
    <row r="309" spans="1:17" x14ac:dyDescent="0.2">
      <c r="A309" s="1"/>
      <c r="B309" s="1"/>
      <c r="C309" s="1"/>
      <c r="D309" s="1"/>
      <c r="E309" s="1"/>
      <c r="F309" s="1"/>
      <c r="G309" s="1"/>
      <c r="H309" s="1"/>
      <c r="I309" s="1"/>
      <c r="J309" s="1"/>
      <c r="K309" s="1"/>
      <c r="L309" s="1"/>
      <c r="M309" s="1"/>
      <c r="N309" s="426"/>
      <c r="O309" s="426"/>
      <c r="P309" s="426"/>
      <c r="Q309" s="426"/>
    </row>
    <row r="310" spans="1:17" x14ac:dyDescent="0.2">
      <c r="A310" s="1"/>
      <c r="B310" s="1"/>
      <c r="C310" s="1"/>
      <c r="D310" s="1"/>
      <c r="E310" s="1"/>
      <c r="F310" s="1"/>
      <c r="G310" s="1"/>
      <c r="H310" s="1"/>
      <c r="I310" s="1"/>
      <c r="J310" s="1"/>
      <c r="K310" s="1"/>
      <c r="L310" s="1"/>
      <c r="M310" s="1"/>
      <c r="N310" s="426"/>
      <c r="O310" s="426"/>
      <c r="P310" s="426"/>
      <c r="Q310" s="426"/>
    </row>
    <row r="311" spans="1:17" x14ac:dyDescent="0.2">
      <c r="A311" s="1"/>
      <c r="B311" s="1"/>
      <c r="C311" s="1"/>
      <c r="D311" s="1"/>
      <c r="E311" s="1"/>
      <c r="F311" s="1"/>
      <c r="G311" s="1"/>
      <c r="H311" s="1"/>
      <c r="I311" s="1"/>
      <c r="J311" s="1"/>
      <c r="K311" s="1"/>
      <c r="L311" s="1"/>
      <c r="M311" s="1"/>
      <c r="N311" s="426"/>
      <c r="O311" s="426"/>
      <c r="P311" s="426"/>
      <c r="Q311" s="426"/>
    </row>
    <row r="312" spans="1:17" x14ac:dyDescent="0.2">
      <c r="A312" s="1"/>
      <c r="B312" s="1"/>
      <c r="C312" s="1"/>
      <c r="D312" s="1"/>
      <c r="E312" s="1"/>
      <c r="F312" s="1"/>
      <c r="G312" s="1"/>
      <c r="H312" s="1"/>
      <c r="I312" s="1"/>
      <c r="J312" s="1"/>
      <c r="K312" s="1"/>
      <c r="L312" s="1"/>
      <c r="M312" s="1"/>
      <c r="N312" s="426"/>
      <c r="O312" s="426"/>
      <c r="P312" s="426"/>
      <c r="Q312" s="426"/>
    </row>
    <row r="313" spans="1:17" x14ac:dyDescent="0.2">
      <c r="A313" s="1"/>
      <c r="B313" s="1"/>
      <c r="C313" s="1"/>
      <c r="D313" s="1"/>
      <c r="E313" s="1"/>
      <c r="F313" s="1"/>
      <c r="G313" s="1"/>
      <c r="H313" s="1"/>
      <c r="I313" s="1"/>
      <c r="J313" s="1"/>
      <c r="K313" s="1"/>
      <c r="L313" s="1"/>
      <c r="M313" s="1"/>
      <c r="N313" s="426"/>
      <c r="O313" s="426"/>
      <c r="P313" s="426"/>
      <c r="Q313" s="426"/>
    </row>
    <row r="314" spans="1:17" x14ac:dyDescent="0.2">
      <c r="A314" s="1"/>
      <c r="B314" s="1"/>
      <c r="C314" s="1"/>
      <c r="D314" s="1"/>
      <c r="E314" s="1"/>
      <c r="F314" s="1"/>
      <c r="G314" s="1"/>
      <c r="H314" s="1"/>
      <c r="I314" s="1"/>
      <c r="J314" s="1"/>
      <c r="K314" s="1"/>
      <c r="L314" s="1"/>
      <c r="M314" s="1"/>
      <c r="N314" s="426"/>
      <c r="O314" s="426"/>
      <c r="P314" s="426"/>
      <c r="Q314" s="426"/>
    </row>
    <row r="315" spans="1:17" x14ac:dyDescent="0.2">
      <c r="A315" s="1"/>
      <c r="B315" s="1"/>
      <c r="C315" s="1"/>
      <c r="D315" s="1"/>
      <c r="E315" s="1"/>
      <c r="F315" s="1"/>
      <c r="G315" s="1"/>
      <c r="H315" s="1"/>
      <c r="I315" s="1"/>
      <c r="J315" s="1"/>
      <c r="K315" s="1"/>
      <c r="L315" s="1"/>
      <c r="M315" s="1"/>
      <c r="N315" s="426"/>
      <c r="O315" s="426"/>
      <c r="P315" s="426"/>
      <c r="Q315" s="426"/>
    </row>
    <row r="316" spans="1:17" x14ac:dyDescent="0.2">
      <c r="A316" s="1"/>
      <c r="B316" s="1"/>
      <c r="C316" s="1"/>
      <c r="D316" s="1"/>
      <c r="E316" s="1"/>
      <c r="F316" s="1"/>
      <c r="G316" s="1"/>
      <c r="H316" s="1"/>
      <c r="I316" s="1"/>
      <c r="J316" s="1"/>
      <c r="K316" s="1"/>
      <c r="L316" s="1"/>
      <c r="M316" s="1"/>
      <c r="N316" s="426"/>
      <c r="O316" s="426"/>
      <c r="P316" s="426"/>
      <c r="Q316" s="426"/>
    </row>
    <row r="317" spans="1:17" x14ac:dyDescent="0.2">
      <c r="A317" s="1"/>
      <c r="B317" s="1"/>
      <c r="C317" s="1"/>
      <c r="D317" s="1"/>
      <c r="E317" s="1"/>
      <c r="F317" s="1"/>
      <c r="G317" s="1"/>
      <c r="H317" s="1"/>
      <c r="I317" s="1"/>
      <c r="J317" s="1"/>
      <c r="K317" s="1"/>
      <c r="L317" s="1"/>
      <c r="M317" s="1"/>
      <c r="N317" s="426"/>
      <c r="O317" s="426"/>
      <c r="P317" s="426"/>
      <c r="Q317" s="426"/>
    </row>
    <row r="318" spans="1:17" x14ac:dyDescent="0.2">
      <c r="A318" s="1"/>
      <c r="B318" s="1"/>
      <c r="C318" s="1"/>
      <c r="D318" s="1"/>
      <c r="E318" s="1"/>
      <c r="F318" s="1"/>
      <c r="G318" s="1"/>
      <c r="H318" s="1"/>
      <c r="I318" s="1"/>
      <c r="J318" s="1"/>
      <c r="K318" s="1"/>
      <c r="L318" s="1"/>
      <c r="M318" s="1"/>
      <c r="N318" s="426"/>
      <c r="O318" s="426"/>
      <c r="P318" s="426"/>
      <c r="Q318" s="426"/>
    </row>
    <row r="319" spans="1:17" x14ac:dyDescent="0.2">
      <c r="A319" s="1"/>
      <c r="B319" s="1"/>
      <c r="C319" s="1"/>
      <c r="D319" s="1"/>
      <c r="E319" s="1"/>
      <c r="F319" s="1"/>
      <c r="G319" s="1"/>
      <c r="H319" s="1"/>
      <c r="I319" s="1"/>
      <c r="J319" s="1"/>
      <c r="K319" s="1"/>
      <c r="L319" s="1"/>
      <c r="M319" s="1"/>
      <c r="N319" s="426"/>
      <c r="O319" s="426"/>
      <c r="P319" s="426"/>
      <c r="Q319" s="426"/>
    </row>
    <row r="320" spans="1:17" x14ac:dyDescent="0.2">
      <c r="A320" s="1"/>
      <c r="B320" s="1"/>
      <c r="C320" s="1"/>
      <c r="D320" s="1"/>
      <c r="E320" s="1"/>
      <c r="F320" s="1"/>
      <c r="G320" s="1"/>
      <c r="H320" s="1"/>
      <c r="I320" s="1"/>
      <c r="J320" s="1"/>
      <c r="K320" s="1"/>
      <c r="L320" s="1"/>
      <c r="M320" s="1"/>
      <c r="N320" s="426"/>
      <c r="O320" s="426"/>
      <c r="P320" s="426"/>
      <c r="Q320" s="426"/>
    </row>
    <row r="321" spans="1:17" x14ac:dyDescent="0.2">
      <c r="A321" s="1"/>
      <c r="B321" s="1"/>
      <c r="C321" s="1"/>
      <c r="D321" s="1"/>
      <c r="E321" s="1"/>
      <c r="F321" s="1"/>
      <c r="G321" s="1"/>
      <c r="H321" s="1"/>
      <c r="I321" s="1"/>
      <c r="J321" s="1"/>
      <c r="K321" s="1"/>
      <c r="L321" s="1"/>
      <c r="M321" s="1"/>
      <c r="N321" s="426"/>
      <c r="O321" s="426"/>
      <c r="P321" s="426"/>
      <c r="Q321" s="426"/>
    </row>
    <row r="322" spans="1:17" x14ac:dyDescent="0.2">
      <c r="A322" s="1"/>
      <c r="B322" s="1"/>
      <c r="C322" s="1"/>
      <c r="D322" s="1"/>
      <c r="E322" s="1"/>
      <c r="F322" s="1"/>
      <c r="G322" s="1"/>
      <c r="H322" s="1"/>
      <c r="I322" s="1"/>
      <c r="J322" s="1"/>
      <c r="K322" s="1"/>
      <c r="L322" s="1"/>
      <c r="M322" s="1"/>
      <c r="N322" s="426"/>
      <c r="O322" s="426"/>
      <c r="P322" s="426"/>
      <c r="Q322" s="426"/>
    </row>
    <row r="323" spans="1:17" x14ac:dyDescent="0.2">
      <c r="A323" s="1"/>
      <c r="B323" s="1"/>
      <c r="C323" s="1"/>
      <c r="D323" s="1"/>
      <c r="E323" s="1"/>
      <c r="F323" s="1"/>
      <c r="G323" s="1"/>
      <c r="H323" s="1"/>
      <c r="I323" s="1"/>
      <c r="J323" s="1"/>
      <c r="K323" s="1"/>
      <c r="L323" s="1"/>
      <c r="M323" s="1"/>
      <c r="N323" s="426"/>
      <c r="O323" s="426"/>
      <c r="P323" s="426"/>
      <c r="Q323" s="426"/>
    </row>
    <row r="324" spans="1:17" x14ac:dyDescent="0.2">
      <c r="A324" s="1"/>
      <c r="B324" s="1"/>
      <c r="C324" s="1"/>
      <c r="D324" s="1"/>
      <c r="E324" s="1"/>
      <c r="F324" s="1"/>
      <c r="G324" s="1"/>
      <c r="H324" s="1"/>
      <c r="I324" s="1"/>
      <c r="J324" s="1"/>
      <c r="K324" s="1"/>
      <c r="L324" s="1"/>
      <c r="M324" s="1"/>
      <c r="N324" s="426"/>
      <c r="O324" s="426"/>
      <c r="P324" s="426"/>
      <c r="Q324" s="426"/>
    </row>
    <row r="325" spans="1:17" x14ac:dyDescent="0.2">
      <c r="A325" s="1"/>
      <c r="B325" s="1"/>
      <c r="C325" s="1"/>
      <c r="D325" s="1"/>
      <c r="E325" s="1"/>
      <c r="F325" s="1"/>
      <c r="G325" s="1"/>
      <c r="H325" s="1"/>
      <c r="I325" s="1"/>
      <c r="J325" s="1"/>
      <c r="K325" s="1"/>
      <c r="L325" s="1"/>
      <c r="M325" s="1"/>
      <c r="N325" s="426"/>
      <c r="O325" s="426"/>
      <c r="P325" s="426"/>
      <c r="Q325" s="426"/>
    </row>
    <row r="326" spans="1:17" x14ac:dyDescent="0.2">
      <c r="A326" s="1"/>
      <c r="B326" s="1"/>
      <c r="C326" s="1"/>
      <c r="D326" s="1"/>
      <c r="E326" s="1"/>
      <c r="F326" s="1"/>
      <c r="G326" s="1"/>
      <c r="H326" s="1"/>
      <c r="I326" s="1"/>
      <c r="J326" s="1"/>
      <c r="K326" s="1"/>
      <c r="L326" s="1"/>
      <c r="M326" s="1"/>
      <c r="N326" s="426"/>
      <c r="O326" s="426"/>
      <c r="P326" s="426"/>
      <c r="Q326" s="426"/>
    </row>
    <row r="327" spans="1:17" x14ac:dyDescent="0.2">
      <c r="A327" s="1"/>
      <c r="B327" s="1"/>
      <c r="C327" s="1"/>
      <c r="D327" s="1"/>
      <c r="E327" s="1"/>
      <c r="F327" s="1"/>
      <c r="G327" s="1"/>
      <c r="H327" s="1"/>
      <c r="I327" s="1"/>
      <c r="J327" s="1"/>
      <c r="K327" s="1"/>
      <c r="L327" s="1"/>
      <c r="M327" s="1"/>
      <c r="N327" s="426"/>
      <c r="O327" s="426"/>
      <c r="P327" s="426"/>
      <c r="Q327" s="426"/>
    </row>
    <row r="328" spans="1:17" x14ac:dyDescent="0.2">
      <c r="A328" s="1"/>
      <c r="B328" s="1"/>
      <c r="C328" s="1"/>
      <c r="D328" s="1"/>
      <c r="E328" s="1"/>
      <c r="F328" s="1"/>
      <c r="G328" s="1"/>
      <c r="H328" s="1"/>
      <c r="I328" s="1"/>
      <c r="J328" s="1"/>
      <c r="K328" s="1"/>
      <c r="L328" s="1"/>
      <c r="M328" s="1"/>
      <c r="N328" s="426"/>
      <c r="O328" s="426"/>
      <c r="P328" s="426"/>
      <c r="Q328" s="426"/>
    </row>
    <row r="329" spans="1:17" x14ac:dyDescent="0.2">
      <c r="A329" s="1"/>
      <c r="B329" s="1"/>
      <c r="C329" s="1"/>
      <c r="D329" s="1"/>
      <c r="E329" s="1"/>
      <c r="F329" s="1"/>
      <c r="G329" s="1"/>
      <c r="H329" s="1"/>
      <c r="I329" s="1"/>
      <c r="J329" s="1"/>
      <c r="K329" s="1"/>
      <c r="L329" s="1"/>
      <c r="M329" s="1"/>
      <c r="N329" s="426"/>
      <c r="O329" s="426"/>
      <c r="P329" s="426"/>
      <c r="Q329" s="426"/>
    </row>
    <row r="330" spans="1:17" x14ac:dyDescent="0.2">
      <c r="A330" s="1"/>
      <c r="B330" s="1"/>
      <c r="C330" s="1"/>
      <c r="D330" s="1"/>
      <c r="E330" s="1"/>
      <c r="F330" s="1"/>
      <c r="G330" s="1"/>
      <c r="H330" s="1"/>
      <c r="I330" s="1"/>
      <c r="J330" s="1"/>
      <c r="K330" s="1"/>
      <c r="L330" s="1"/>
      <c r="M330" s="1"/>
      <c r="N330" s="426"/>
      <c r="O330" s="426"/>
      <c r="P330" s="426"/>
      <c r="Q330" s="426"/>
    </row>
    <row r="331" spans="1:17" x14ac:dyDescent="0.2">
      <c r="A331" s="1"/>
      <c r="B331" s="1"/>
      <c r="C331" s="1"/>
      <c r="D331" s="1"/>
      <c r="E331" s="1"/>
      <c r="F331" s="1"/>
      <c r="G331" s="1"/>
      <c r="H331" s="1"/>
      <c r="I331" s="1"/>
      <c r="J331" s="1"/>
      <c r="K331" s="1"/>
      <c r="L331" s="1"/>
      <c r="M331" s="1"/>
      <c r="N331" s="426"/>
      <c r="O331" s="426"/>
      <c r="P331" s="426"/>
      <c r="Q331" s="426"/>
    </row>
    <row r="332" spans="1:17" x14ac:dyDescent="0.2">
      <c r="A332" s="1"/>
      <c r="B332" s="1"/>
      <c r="C332" s="1"/>
      <c r="D332" s="1"/>
      <c r="E332" s="1"/>
      <c r="F332" s="1"/>
      <c r="G332" s="1"/>
      <c r="H332" s="1"/>
      <c r="I332" s="1"/>
      <c r="J332" s="1"/>
      <c r="K332" s="1"/>
      <c r="L332" s="1"/>
      <c r="M332" s="1"/>
      <c r="N332" s="426"/>
      <c r="O332" s="426"/>
      <c r="P332" s="426"/>
      <c r="Q332" s="426"/>
    </row>
    <row r="333" spans="1:17" x14ac:dyDescent="0.2">
      <c r="A333" s="1"/>
      <c r="B333" s="1"/>
      <c r="C333" s="1"/>
      <c r="D333" s="1"/>
      <c r="E333" s="1"/>
      <c r="F333" s="1"/>
      <c r="G333" s="1"/>
      <c r="H333" s="1"/>
      <c r="I333" s="1"/>
      <c r="J333" s="1"/>
      <c r="K333" s="1"/>
      <c r="L333" s="1"/>
      <c r="M333" s="1"/>
      <c r="N333" s="426"/>
      <c r="O333" s="426"/>
      <c r="P333" s="426"/>
      <c r="Q333" s="426"/>
    </row>
    <row r="334" spans="1:17" x14ac:dyDescent="0.2">
      <c r="A334" s="1"/>
      <c r="B334" s="1"/>
      <c r="C334" s="1"/>
      <c r="D334" s="1"/>
      <c r="E334" s="1"/>
      <c r="F334" s="1"/>
      <c r="G334" s="1"/>
      <c r="H334" s="1"/>
      <c r="I334" s="1"/>
      <c r="J334" s="1"/>
      <c r="K334" s="1"/>
      <c r="L334" s="1"/>
      <c r="M334" s="1"/>
      <c r="N334" s="426"/>
      <c r="O334" s="426"/>
      <c r="P334" s="426"/>
      <c r="Q334" s="426"/>
    </row>
    <row r="335" spans="1:17" x14ac:dyDescent="0.2">
      <c r="A335" s="1"/>
      <c r="B335" s="1"/>
      <c r="C335" s="1"/>
      <c r="D335" s="1"/>
      <c r="E335" s="1"/>
      <c r="F335" s="1"/>
      <c r="G335" s="1"/>
      <c r="H335" s="1"/>
      <c r="I335" s="1"/>
      <c r="J335" s="1"/>
      <c r="K335" s="1"/>
      <c r="L335" s="1"/>
      <c r="M335" s="1"/>
      <c r="N335" s="426"/>
      <c r="O335" s="426"/>
      <c r="P335" s="426"/>
      <c r="Q335" s="426"/>
    </row>
    <row r="336" spans="1:17" x14ac:dyDescent="0.2">
      <c r="A336" s="1"/>
      <c r="B336" s="1"/>
      <c r="C336" s="1"/>
      <c r="D336" s="1"/>
      <c r="E336" s="1"/>
      <c r="F336" s="1"/>
      <c r="G336" s="1"/>
      <c r="H336" s="1"/>
      <c r="I336" s="1"/>
      <c r="J336" s="1"/>
      <c r="K336" s="1"/>
      <c r="L336" s="1"/>
      <c r="M336" s="1"/>
      <c r="N336" s="426"/>
      <c r="O336" s="426"/>
      <c r="P336" s="426"/>
      <c r="Q336" s="426"/>
    </row>
    <row r="337" spans="1:17" x14ac:dyDescent="0.2">
      <c r="A337" s="1"/>
      <c r="B337" s="1"/>
      <c r="C337" s="1"/>
      <c r="D337" s="1"/>
      <c r="E337" s="1"/>
      <c r="F337" s="1"/>
      <c r="G337" s="1"/>
      <c r="H337" s="1"/>
      <c r="I337" s="1"/>
      <c r="J337" s="1"/>
      <c r="K337" s="1"/>
      <c r="L337" s="1"/>
      <c r="M337" s="1"/>
      <c r="N337" s="426"/>
      <c r="O337" s="426"/>
      <c r="P337" s="426"/>
      <c r="Q337" s="426"/>
    </row>
    <row r="338" spans="1:17" x14ac:dyDescent="0.2">
      <c r="A338" s="1"/>
      <c r="B338" s="1"/>
      <c r="C338" s="1"/>
      <c r="D338" s="1"/>
      <c r="E338" s="1"/>
      <c r="F338" s="1"/>
      <c r="G338" s="1"/>
      <c r="H338" s="1"/>
      <c r="I338" s="1"/>
      <c r="J338" s="1"/>
      <c r="K338" s="1"/>
      <c r="L338" s="1"/>
      <c r="M338" s="1"/>
      <c r="N338" s="426"/>
      <c r="O338" s="426"/>
      <c r="P338" s="426"/>
      <c r="Q338" s="426"/>
    </row>
    <row r="339" spans="1:17" x14ac:dyDescent="0.2">
      <c r="A339" s="1"/>
      <c r="B339" s="1"/>
      <c r="C339" s="1"/>
      <c r="D339" s="1"/>
      <c r="E339" s="1"/>
      <c r="F339" s="1"/>
      <c r="G339" s="1"/>
      <c r="H339" s="1"/>
      <c r="I339" s="1"/>
      <c r="J339" s="1"/>
      <c r="K339" s="1"/>
      <c r="L339" s="1"/>
      <c r="M339" s="1"/>
      <c r="N339" s="426"/>
      <c r="O339" s="426"/>
      <c r="P339" s="426"/>
      <c r="Q339" s="426"/>
    </row>
    <row r="340" spans="1:17" x14ac:dyDescent="0.2">
      <c r="A340" s="1"/>
      <c r="B340" s="1"/>
      <c r="C340" s="1"/>
      <c r="D340" s="1"/>
      <c r="E340" s="1"/>
      <c r="F340" s="1"/>
      <c r="G340" s="1"/>
      <c r="H340" s="1"/>
      <c r="I340" s="1"/>
      <c r="J340" s="1"/>
      <c r="K340" s="1"/>
      <c r="L340" s="1"/>
      <c r="M340" s="1"/>
      <c r="N340" s="426"/>
      <c r="O340" s="426"/>
      <c r="P340" s="426"/>
      <c r="Q340" s="426"/>
    </row>
    <row r="341" spans="1:17" x14ac:dyDescent="0.2">
      <c r="A341" s="1"/>
      <c r="B341" s="1"/>
      <c r="C341" s="1"/>
      <c r="D341" s="1"/>
      <c r="E341" s="1"/>
      <c r="F341" s="1"/>
      <c r="G341" s="1"/>
      <c r="H341" s="1"/>
      <c r="I341" s="1"/>
      <c r="J341" s="1"/>
      <c r="K341" s="1"/>
      <c r="L341" s="1"/>
      <c r="M341" s="1"/>
      <c r="N341" s="426"/>
      <c r="O341" s="426"/>
      <c r="P341" s="426"/>
      <c r="Q341" s="426"/>
    </row>
    <row r="342" spans="1:17" x14ac:dyDescent="0.2">
      <c r="A342" s="1"/>
      <c r="B342" s="1"/>
      <c r="C342" s="1"/>
      <c r="D342" s="1"/>
      <c r="E342" s="1"/>
      <c r="F342" s="1"/>
      <c r="G342" s="1"/>
      <c r="H342" s="1"/>
      <c r="I342" s="1"/>
      <c r="J342" s="1"/>
      <c r="K342" s="1"/>
      <c r="L342" s="1"/>
      <c r="M342" s="1"/>
      <c r="N342" s="426"/>
      <c r="O342" s="426"/>
      <c r="P342" s="426"/>
      <c r="Q342" s="426"/>
    </row>
    <row r="343" spans="1:17" x14ac:dyDescent="0.2">
      <c r="A343" s="1"/>
      <c r="B343" s="1"/>
      <c r="C343" s="1"/>
      <c r="D343" s="1"/>
      <c r="E343" s="1"/>
      <c r="F343" s="1"/>
      <c r="G343" s="1"/>
      <c r="H343" s="1"/>
      <c r="I343" s="1"/>
      <c r="J343" s="1"/>
      <c r="K343" s="1"/>
      <c r="L343" s="1"/>
      <c r="M343" s="1"/>
      <c r="N343" s="426"/>
      <c r="O343" s="426"/>
      <c r="P343" s="426"/>
      <c r="Q343" s="426"/>
    </row>
    <row r="344" spans="1:17" x14ac:dyDescent="0.2">
      <c r="A344" s="1"/>
      <c r="B344" s="1"/>
      <c r="C344" s="1"/>
      <c r="D344" s="1"/>
      <c r="E344" s="1"/>
      <c r="F344" s="1"/>
      <c r="G344" s="1"/>
      <c r="H344" s="1"/>
      <c r="I344" s="1"/>
      <c r="J344" s="1"/>
      <c r="K344" s="1"/>
      <c r="L344" s="1"/>
      <c r="M344" s="1"/>
      <c r="N344" s="426"/>
      <c r="O344" s="426"/>
      <c r="P344" s="426"/>
      <c r="Q344" s="426"/>
    </row>
    <row r="345" spans="1:17" x14ac:dyDescent="0.2">
      <c r="A345" s="1"/>
      <c r="B345" s="1"/>
      <c r="C345" s="1"/>
      <c r="D345" s="1"/>
      <c r="E345" s="1"/>
      <c r="F345" s="1"/>
      <c r="G345" s="1"/>
      <c r="H345" s="1"/>
      <c r="I345" s="1"/>
      <c r="J345" s="1"/>
      <c r="K345" s="1"/>
      <c r="L345" s="1"/>
      <c r="M345" s="1"/>
      <c r="N345" s="426"/>
      <c r="O345" s="426"/>
      <c r="P345" s="426"/>
      <c r="Q345" s="426"/>
    </row>
    <row r="346" spans="1:17" x14ac:dyDescent="0.2">
      <c r="A346" s="1"/>
      <c r="B346" s="1"/>
      <c r="C346" s="1"/>
      <c r="D346" s="1"/>
      <c r="E346" s="1"/>
      <c r="F346" s="1"/>
      <c r="G346" s="1"/>
      <c r="H346" s="1"/>
      <c r="I346" s="1"/>
      <c r="J346" s="1"/>
      <c r="K346" s="1"/>
      <c r="L346" s="1"/>
      <c r="M346" s="1"/>
      <c r="N346" s="426"/>
      <c r="O346" s="426"/>
      <c r="P346" s="426"/>
      <c r="Q346" s="426"/>
    </row>
    <row r="347" spans="1:17" x14ac:dyDescent="0.2">
      <c r="A347" s="1"/>
      <c r="B347" s="1"/>
      <c r="C347" s="1"/>
      <c r="D347" s="1"/>
      <c r="E347" s="1"/>
      <c r="F347" s="1"/>
      <c r="G347" s="1"/>
      <c r="H347" s="1"/>
      <c r="I347" s="1"/>
      <c r="J347" s="1"/>
      <c r="K347" s="1"/>
      <c r="L347" s="1"/>
      <c r="M347" s="1"/>
      <c r="N347" s="426"/>
      <c r="O347" s="426"/>
      <c r="P347" s="426"/>
      <c r="Q347" s="426"/>
    </row>
    <row r="348" spans="1:17" x14ac:dyDescent="0.2">
      <c r="A348" s="1"/>
      <c r="B348" s="1"/>
      <c r="C348" s="1"/>
      <c r="D348" s="1"/>
      <c r="E348" s="1"/>
      <c r="F348" s="1"/>
      <c r="G348" s="1"/>
      <c r="H348" s="1"/>
      <c r="I348" s="1"/>
      <c r="J348" s="1"/>
      <c r="K348" s="1"/>
      <c r="L348" s="1"/>
      <c r="M348" s="1"/>
      <c r="N348" s="426"/>
      <c r="O348" s="426"/>
      <c r="P348" s="426"/>
      <c r="Q348" s="426"/>
    </row>
    <row r="349" spans="1:17" x14ac:dyDescent="0.2">
      <c r="A349" s="1"/>
      <c r="B349" s="1"/>
      <c r="C349" s="1"/>
      <c r="D349" s="1"/>
      <c r="E349" s="1"/>
      <c r="F349" s="1"/>
      <c r="G349" s="1"/>
      <c r="H349" s="1"/>
      <c r="I349" s="1"/>
      <c r="J349" s="1"/>
      <c r="K349" s="1"/>
      <c r="L349" s="1"/>
      <c r="M349" s="1"/>
      <c r="N349" s="426"/>
      <c r="O349" s="426"/>
      <c r="P349" s="426"/>
      <c r="Q349" s="426"/>
    </row>
    <row r="350" spans="1:17" x14ac:dyDescent="0.2">
      <c r="A350" s="1"/>
      <c r="B350" s="1"/>
      <c r="C350" s="1"/>
      <c r="D350" s="1"/>
      <c r="E350" s="1"/>
      <c r="F350" s="1"/>
      <c r="G350" s="1"/>
      <c r="H350" s="1"/>
      <c r="I350" s="1"/>
      <c r="J350" s="1"/>
      <c r="K350" s="1"/>
      <c r="L350" s="1"/>
      <c r="M350" s="1"/>
      <c r="N350" s="426"/>
      <c r="O350" s="426"/>
      <c r="P350" s="426"/>
      <c r="Q350" s="426"/>
    </row>
    <row r="351" spans="1:17" x14ac:dyDescent="0.2">
      <c r="A351" s="1"/>
      <c r="B351" s="1"/>
      <c r="C351" s="1"/>
      <c r="D351" s="1"/>
      <c r="E351" s="1"/>
      <c r="F351" s="1"/>
      <c r="G351" s="1"/>
      <c r="H351" s="1"/>
      <c r="I351" s="1"/>
      <c r="J351" s="1"/>
      <c r="K351" s="1"/>
      <c r="L351" s="1"/>
      <c r="M351" s="1"/>
      <c r="N351" s="426"/>
      <c r="O351" s="426"/>
      <c r="P351" s="426"/>
      <c r="Q351" s="426"/>
    </row>
    <row r="352" spans="1:17" x14ac:dyDescent="0.2">
      <c r="A352" s="1"/>
      <c r="B352" s="1"/>
      <c r="C352" s="1"/>
      <c r="D352" s="1"/>
      <c r="E352" s="1"/>
      <c r="F352" s="1"/>
      <c r="G352" s="1"/>
      <c r="H352" s="1"/>
      <c r="I352" s="1"/>
      <c r="J352" s="1"/>
      <c r="K352" s="1"/>
      <c r="L352" s="1"/>
      <c r="M352" s="1"/>
      <c r="N352" s="426"/>
      <c r="O352" s="426"/>
      <c r="P352" s="426"/>
      <c r="Q352" s="426"/>
    </row>
    <row r="353" spans="1:17" x14ac:dyDescent="0.2">
      <c r="A353" s="1"/>
      <c r="B353" s="1"/>
      <c r="C353" s="1"/>
      <c r="D353" s="1"/>
      <c r="E353" s="1"/>
      <c r="F353" s="1"/>
      <c r="G353" s="1"/>
      <c r="H353" s="1"/>
      <c r="I353" s="1"/>
      <c r="J353" s="1"/>
      <c r="K353" s="1"/>
      <c r="L353" s="1"/>
      <c r="M353" s="1"/>
      <c r="N353" s="426"/>
      <c r="O353" s="426"/>
      <c r="P353" s="426"/>
      <c r="Q353" s="426"/>
    </row>
    <row r="354" spans="1:17" x14ac:dyDescent="0.2">
      <c r="A354" s="1"/>
      <c r="B354" s="1"/>
      <c r="C354" s="1"/>
      <c r="D354" s="1"/>
      <c r="E354" s="1"/>
      <c r="F354" s="1"/>
      <c r="G354" s="1"/>
      <c r="H354" s="1"/>
      <c r="I354" s="1"/>
      <c r="J354" s="1"/>
      <c r="K354" s="1"/>
      <c r="L354" s="1"/>
      <c r="M354" s="1"/>
      <c r="N354" s="426"/>
      <c r="O354" s="426"/>
      <c r="P354" s="426"/>
      <c r="Q354" s="426"/>
    </row>
    <row r="355" spans="1:17" x14ac:dyDescent="0.2">
      <c r="A355" s="1"/>
      <c r="B355" s="1"/>
      <c r="C355" s="1"/>
      <c r="D355" s="1"/>
      <c r="E355" s="1"/>
      <c r="F355" s="1"/>
      <c r="G355" s="1"/>
      <c r="H355" s="1"/>
      <c r="I355" s="1"/>
      <c r="J355" s="1"/>
      <c r="K355" s="1"/>
      <c r="L355" s="1"/>
      <c r="M355" s="1"/>
      <c r="N355" s="426"/>
      <c r="O355" s="426"/>
      <c r="P355" s="426"/>
      <c r="Q355" s="426"/>
    </row>
    <row r="356" spans="1:17" x14ac:dyDescent="0.2">
      <c r="A356" s="1"/>
      <c r="B356" s="1"/>
      <c r="C356" s="1"/>
      <c r="D356" s="1"/>
      <c r="E356" s="1"/>
      <c r="F356" s="1"/>
      <c r="G356" s="1"/>
      <c r="H356" s="1"/>
      <c r="I356" s="1"/>
      <c r="J356" s="1"/>
      <c r="K356" s="1"/>
      <c r="L356" s="1"/>
      <c r="M356" s="1"/>
      <c r="N356" s="426"/>
      <c r="O356" s="426"/>
      <c r="P356" s="426"/>
      <c r="Q356" s="426"/>
    </row>
    <row r="357" spans="1:17" x14ac:dyDescent="0.2">
      <c r="A357" s="1"/>
      <c r="B357" s="1"/>
      <c r="C357" s="1"/>
      <c r="D357" s="1"/>
      <c r="E357" s="1"/>
      <c r="F357" s="1"/>
      <c r="G357" s="1"/>
      <c r="H357" s="1"/>
      <c r="I357" s="1"/>
      <c r="J357" s="1"/>
      <c r="K357" s="1"/>
      <c r="L357" s="1"/>
      <c r="M357" s="1"/>
      <c r="N357" s="426"/>
      <c r="O357" s="426"/>
      <c r="P357" s="426"/>
      <c r="Q357" s="426"/>
    </row>
    <row r="358" spans="1:17" x14ac:dyDescent="0.2">
      <c r="A358" s="1"/>
      <c r="B358" s="1"/>
      <c r="C358" s="1"/>
      <c r="D358" s="1"/>
      <c r="E358" s="1"/>
      <c r="F358" s="1"/>
      <c r="G358" s="1"/>
      <c r="H358" s="1"/>
      <c r="I358" s="1"/>
      <c r="J358" s="1"/>
      <c r="K358" s="1"/>
      <c r="L358" s="1"/>
      <c r="M358" s="1"/>
      <c r="N358" s="426"/>
      <c r="O358" s="426"/>
      <c r="P358" s="426"/>
      <c r="Q358" s="426"/>
    </row>
    <row r="359" spans="1:17" x14ac:dyDescent="0.2">
      <c r="A359" s="1"/>
      <c r="B359" s="1"/>
      <c r="C359" s="1"/>
      <c r="D359" s="1"/>
      <c r="E359" s="1"/>
      <c r="F359" s="1"/>
      <c r="G359" s="1"/>
      <c r="H359" s="1"/>
      <c r="I359" s="1"/>
      <c r="J359" s="1"/>
      <c r="K359" s="1"/>
      <c r="L359" s="1"/>
      <c r="M359" s="1"/>
      <c r="N359" s="426"/>
      <c r="O359" s="426"/>
      <c r="P359" s="426"/>
      <c r="Q359" s="426"/>
    </row>
    <row r="360" spans="1:17" x14ac:dyDescent="0.2">
      <c r="A360" s="1"/>
      <c r="B360" s="1"/>
      <c r="C360" s="1"/>
      <c r="D360" s="1"/>
      <c r="E360" s="1"/>
      <c r="F360" s="1"/>
      <c r="G360" s="1"/>
      <c r="H360" s="1"/>
      <c r="I360" s="1"/>
      <c r="J360" s="1"/>
      <c r="K360" s="1"/>
      <c r="L360" s="1"/>
      <c r="M360" s="1"/>
      <c r="N360" s="426"/>
      <c r="O360" s="426"/>
      <c r="P360" s="426"/>
      <c r="Q360" s="426"/>
    </row>
    <row r="361" spans="1:17" x14ac:dyDescent="0.2">
      <c r="A361" s="1"/>
      <c r="B361" s="1"/>
      <c r="C361" s="1"/>
      <c r="D361" s="1"/>
      <c r="E361" s="1"/>
      <c r="F361" s="1"/>
      <c r="G361" s="1"/>
      <c r="H361" s="1"/>
      <c r="I361" s="1"/>
      <c r="J361" s="1"/>
      <c r="K361" s="1"/>
      <c r="L361" s="1"/>
      <c r="M361" s="1"/>
      <c r="N361" s="426"/>
      <c r="O361" s="426"/>
      <c r="P361" s="426"/>
      <c r="Q361" s="426"/>
    </row>
    <row r="362" spans="1:17" x14ac:dyDescent="0.2">
      <c r="A362" s="1"/>
      <c r="B362" s="1"/>
      <c r="C362" s="1"/>
      <c r="D362" s="1"/>
      <c r="E362" s="1"/>
      <c r="F362" s="1"/>
      <c r="G362" s="1"/>
      <c r="H362" s="1"/>
      <c r="I362" s="1"/>
      <c r="J362" s="1"/>
      <c r="K362" s="1"/>
      <c r="L362" s="1"/>
      <c r="M362" s="1"/>
      <c r="N362" s="426"/>
      <c r="O362" s="426"/>
      <c r="P362" s="426"/>
      <c r="Q362" s="426"/>
    </row>
    <row r="363" spans="1:17" x14ac:dyDescent="0.2">
      <c r="A363" s="1"/>
      <c r="B363" s="1"/>
      <c r="C363" s="1"/>
      <c r="D363" s="1"/>
      <c r="E363" s="1"/>
      <c r="F363" s="1"/>
      <c r="G363" s="1"/>
      <c r="H363" s="1"/>
      <c r="I363" s="1"/>
      <c r="J363" s="1"/>
      <c r="K363" s="1"/>
      <c r="L363" s="1"/>
      <c r="M363" s="1"/>
      <c r="N363" s="426"/>
      <c r="O363" s="426"/>
      <c r="P363" s="426"/>
      <c r="Q363" s="426"/>
    </row>
    <row r="364" spans="1:17" x14ac:dyDescent="0.2">
      <c r="A364" s="1"/>
      <c r="B364" s="1"/>
      <c r="C364" s="1"/>
      <c r="D364" s="1"/>
      <c r="E364" s="1"/>
      <c r="F364" s="1"/>
      <c r="G364" s="1"/>
      <c r="H364" s="1"/>
      <c r="I364" s="1"/>
      <c r="J364" s="1"/>
      <c r="K364" s="1"/>
      <c r="L364" s="1"/>
      <c r="M364" s="1"/>
      <c r="N364" s="426"/>
      <c r="O364" s="426"/>
      <c r="P364" s="426"/>
      <c r="Q364" s="426"/>
    </row>
    <row r="365" spans="1:17" x14ac:dyDescent="0.2">
      <c r="A365" s="1"/>
      <c r="B365" s="1"/>
      <c r="C365" s="1"/>
      <c r="D365" s="1"/>
      <c r="E365" s="1"/>
      <c r="F365" s="1"/>
      <c r="G365" s="1"/>
      <c r="H365" s="1"/>
      <c r="I365" s="1"/>
      <c r="J365" s="1"/>
      <c r="K365" s="1"/>
      <c r="L365" s="1"/>
      <c r="M365" s="1"/>
      <c r="N365" s="426"/>
      <c r="O365" s="426"/>
      <c r="P365" s="426"/>
      <c r="Q365" s="426"/>
    </row>
    <row r="366" spans="1:17" x14ac:dyDescent="0.2">
      <c r="A366" s="1"/>
      <c r="B366" s="1"/>
      <c r="C366" s="1"/>
      <c r="D366" s="1"/>
      <c r="E366" s="1"/>
      <c r="F366" s="1"/>
      <c r="G366" s="1"/>
      <c r="H366" s="1"/>
      <c r="I366" s="1"/>
      <c r="J366" s="1"/>
      <c r="K366" s="1"/>
      <c r="L366" s="1"/>
      <c r="M366" s="1"/>
      <c r="N366" s="426"/>
      <c r="O366" s="426"/>
      <c r="P366" s="426"/>
      <c r="Q366" s="426"/>
    </row>
    <row r="367" spans="1:17" x14ac:dyDescent="0.2">
      <c r="A367" s="1"/>
      <c r="B367" s="1"/>
      <c r="C367" s="1"/>
      <c r="D367" s="1"/>
      <c r="E367" s="1"/>
      <c r="F367" s="1"/>
      <c r="G367" s="1"/>
      <c r="H367" s="1"/>
      <c r="I367" s="1"/>
      <c r="J367" s="1"/>
      <c r="K367" s="1"/>
      <c r="L367" s="1"/>
      <c r="M367" s="1"/>
      <c r="N367" s="426"/>
      <c r="O367" s="426"/>
      <c r="P367" s="426"/>
      <c r="Q367" s="426"/>
    </row>
    <row r="368" spans="1:17" x14ac:dyDescent="0.2">
      <c r="A368" s="1"/>
      <c r="B368" s="1"/>
      <c r="C368" s="1"/>
      <c r="D368" s="1"/>
      <c r="E368" s="1"/>
      <c r="F368" s="1"/>
      <c r="G368" s="1"/>
      <c r="H368" s="1"/>
      <c r="I368" s="1"/>
      <c r="J368" s="1"/>
      <c r="K368" s="1"/>
      <c r="L368" s="1"/>
      <c r="M368" s="1"/>
      <c r="N368" s="426"/>
      <c r="O368" s="426"/>
      <c r="P368" s="426"/>
      <c r="Q368" s="426"/>
    </row>
    <row r="369" spans="1:17" x14ac:dyDescent="0.2">
      <c r="A369" s="1"/>
      <c r="B369" s="1"/>
      <c r="C369" s="1"/>
      <c r="D369" s="1"/>
      <c r="E369" s="1"/>
      <c r="F369" s="1"/>
      <c r="G369" s="1"/>
      <c r="H369" s="1"/>
      <c r="I369" s="1"/>
      <c r="J369" s="1"/>
      <c r="K369" s="1"/>
      <c r="L369" s="1"/>
      <c r="M369" s="1"/>
      <c r="N369" s="426"/>
      <c r="O369" s="426"/>
      <c r="P369" s="426"/>
      <c r="Q369" s="426"/>
    </row>
    <row r="370" spans="1:17" x14ac:dyDescent="0.2">
      <c r="A370" s="1"/>
      <c r="B370" s="1"/>
      <c r="C370" s="1"/>
      <c r="D370" s="1"/>
      <c r="E370" s="1"/>
      <c r="F370" s="1"/>
      <c r="G370" s="1"/>
      <c r="H370" s="1"/>
      <c r="I370" s="1"/>
      <c r="J370" s="1"/>
      <c r="K370" s="1"/>
      <c r="L370" s="1"/>
      <c r="M370" s="1"/>
      <c r="N370" s="426"/>
      <c r="O370" s="426"/>
      <c r="P370" s="426"/>
      <c r="Q370" s="426"/>
    </row>
    <row r="371" spans="1:17" x14ac:dyDescent="0.2">
      <c r="A371" s="1"/>
      <c r="B371" s="1"/>
      <c r="C371" s="1"/>
      <c r="D371" s="1"/>
      <c r="E371" s="1"/>
      <c r="F371" s="1"/>
      <c r="G371" s="1"/>
      <c r="H371" s="1"/>
      <c r="I371" s="1"/>
      <c r="J371" s="1"/>
      <c r="K371" s="1"/>
      <c r="L371" s="1"/>
      <c r="M371" s="1"/>
      <c r="N371" s="426"/>
      <c r="O371" s="426"/>
      <c r="P371" s="426"/>
      <c r="Q371" s="426"/>
    </row>
    <row r="372" spans="1:17" x14ac:dyDescent="0.2">
      <c r="A372" s="1"/>
      <c r="B372" s="1"/>
      <c r="C372" s="1"/>
      <c r="D372" s="1"/>
      <c r="E372" s="1"/>
      <c r="F372" s="1"/>
      <c r="G372" s="1"/>
      <c r="H372" s="1"/>
      <c r="I372" s="1"/>
      <c r="J372" s="1"/>
      <c r="K372" s="1"/>
      <c r="L372" s="1"/>
      <c r="M372" s="1"/>
      <c r="N372" s="426"/>
      <c r="O372" s="426"/>
      <c r="P372" s="426"/>
      <c r="Q372" s="426"/>
    </row>
    <row r="373" spans="1:17" x14ac:dyDescent="0.2">
      <c r="A373" s="1"/>
      <c r="B373" s="1"/>
      <c r="C373" s="1"/>
      <c r="D373" s="1"/>
      <c r="E373" s="1"/>
      <c r="F373" s="1"/>
      <c r="G373" s="1"/>
      <c r="H373" s="1"/>
      <c r="I373" s="1"/>
      <c r="J373" s="1"/>
      <c r="K373" s="1"/>
      <c r="L373" s="1"/>
      <c r="M373" s="1"/>
      <c r="N373" s="426"/>
      <c r="O373" s="426"/>
      <c r="P373" s="426"/>
      <c r="Q373" s="426"/>
    </row>
    <row r="374" spans="1:17" x14ac:dyDescent="0.2">
      <c r="A374" s="1"/>
      <c r="B374" s="1"/>
      <c r="C374" s="1"/>
      <c r="D374" s="1"/>
      <c r="E374" s="1"/>
      <c r="F374" s="1"/>
      <c r="G374" s="1"/>
      <c r="H374" s="1"/>
      <c r="I374" s="1"/>
      <c r="J374" s="1"/>
      <c r="K374" s="1"/>
      <c r="L374" s="1"/>
      <c r="M374" s="1"/>
      <c r="N374" s="426"/>
      <c r="O374" s="426"/>
      <c r="P374" s="426"/>
      <c r="Q374" s="426"/>
    </row>
    <row r="375" spans="1:17" x14ac:dyDescent="0.2">
      <c r="A375" s="1"/>
      <c r="B375" s="1"/>
      <c r="C375" s="1"/>
      <c r="D375" s="1"/>
      <c r="E375" s="1"/>
      <c r="F375" s="1"/>
      <c r="G375" s="1"/>
      <c r="H375" s="1"/>
      <c r="I375" s="1"/>
      <c r="J375" s="1"/>
      <c r="K375" s="1"/>
      <c r="L375" s="1"/>
      <c r="M375" s="1"/>
      <c r="N375" s="426"/>
      <c r="O375" s="426"/>
      <c r="P375" s="426"/>
      <c r="Q375" s="426"/>
    </row>
    <row r="376" spans="1:17" x14ac:dyDescent="0.2">
      <c r="A376" s="1"/>
      <c r="B376" s="1"/>
      <c r="C376" s="1"/>
      <c r="D376" s="1"/>
      <c r="E376" s="1"/>
      <c r="F376" s="1"/>
      <c r="G376" s="1"/>
      <c r="H376" s="1"/>
      <c r="I376" s="1"/>
      <c r="J376" s="1"/>
      <c r="K376" s="1"/>
      <c r="L376" s="1"/>
      <c r="M376" s="1"/>
      <c r="N376" s="426"/>
      <c r="O376" s="426"/>
      <c r="P376" s="426"/>
      <c r="Q376" s="426"/>
    </row>
    <row r="377" spans="1:17" x14ac:dyDescent="0.2">
      <c r="A377" s="1"/>
      <c r="B377" s="1"/>
      <c r="C377" s="1"/>
      <c r="D377" s="1"/>
      <c r="E377" s="1"/>
      <c r="F377" s="1"/>
      <c r="G377" s="1"/>
      <c r="H377" s="1"/>
      <c r="I377" s="1"/>
      <c r="J377" s="1"/>
      <c r="K377" s="1"/>
      <c r="L377" s="1"/>
      <c r="M377" s="1"/>
      <c r="N377" s="426"/>
      <c r="O377" s="426"/>
      <c r="P377" s="426"/>
      <c r="Q377" s="426"/>
    </row>
    <row r="378" spans="1:17" x14ac:dyDescent="0.2">
      <c r="A378" s="1"/>
      <c r="B378" s="1"/>
      <c r="C378" s="1"/>
      <c r="D378" s="1"/>
      <c r="E378" s="1"/>
      <c r="F378" s="1"/>
      <c r="G378" s="1"/>
      <c r="H378" s="1"/>
      <c r="I378" s="1"/>
      <c r="J378" s="1"/>
      <c r="K378" s="1"/>
      <c r="L378" s="1"/>
      <c r="M378" s="1"/>
      <c r="N378" s="426"/>
      <c r="O378" s="426"/>
      <c r="P378" s="426"/>
      <c r="Q378" s="426"/>
    </row>
    <row r="379" spans="1:17" x14ac:dyDescent="0.2">
      <c r="A379" s="1"/>
      <c r="B379" s="1"/>
      <c r="C379" s="1"/>
      <c r="D379" s="1"/>
      <c r="E379" s="1"/>
      <c r="F379" s="1"/>
      <c r="G379" s="1"/>
      <c r="H379" s="1"/>
      <c r="I379" s="1"/>
      <c r="J379" s="1"/>
      <c r="K379" s="1"/>
      <c r="L379" s="1"/>
      <c r="M379" s="1"/>
      <c r="N379" s="426"/>
      <c r="O379" s="426"/>
      <c r="P379" s="426"/>
      <c r="Q379" s="426"/>
    </row>
    <row r="380" spans="1:17" x14ac:dyDescent="0.2">
      <c r="A380" s="1"/>
      <c r="B380" s="1"/>
      <c r="C380" s="1"/>
      <c r="D380" s="1"/>
      <c r="E380" s="1"/>
      <c r="F380" s="1"/>
      <c r="G380" s="1"/>
      <c r="H380" s="1"/>
      <c r="I380" s="1"/>
      <c r="J380" s="1"/>
      <c r="K380" s="1"/>
      <c r="L380" s="1"/>
      <c r="M380" s="1"/>
      <c r="N380" s="426"/>
      <c r="O380" s="426"/>
      <c r="P380" s="426"/>
      <c r="Q380" s="426"/>
    </row>
    <row r="381" spans="1:17" x14ac:dyDescent="0.2">
      <c r="A381" s="1"/>
      <c r="B381" s="1"/>
      <c r="C381" s="1"/>
      <c r="D381" s="1"/>
      <c r="E381" s="1"/>
      <c r="F381" s="1"/>
      <c r="G381" s="1"/>
      <c r="H381" s="1"/>
      <c r="I381" s="1"/>
      <c r="J381" s="1"/>
      <c r="K381" s="1"/>
      <c r="L381" s="1"/>
      <c r="M381" s="1"/>
      <c r="N381" s="426"/>
      <c r="O381" s="426"/>
      <c r="P381" s="426"/>
      <c r="Q381" s="426"/>
    </row>
    <row r="382" spans="1:17" x14ac:dyDescent="0.2">
      <c r="A382" s="1"/>
      <c r="B382" s="1"/>
      <c r="C382" s="1"/>
      <c r="D382" s="1"/>
      <c r="E382" s="1"/>
      <c r="F382" s="1"/>
      <c r="G382" s="1"/>
      <c r="H382" s="1"/>
      <c r="I382" s="1"/>
      <c r="J382" s="1"/>
      <c r="K382" s="1"/>
      <c r="L382" s="1"/>
      <c r="M382" s="1"/>
      <c r="N382" s="426"/>
      <c r="O382" s="426"/>
      <c r="P382" s="426"/>
      <c r="Q382" s="426"/>
    </row>
    <row r="383" spans="1:17" x14ac:dyDescent="0.2">
      <c r="A383" s="1"/>
      <c r="B383" s="1"/>
      <c r="C383" s="1"/>
      <c r="D383" s="1"/>
      <c r="E383" s="1"/>
      <c r="F383" s="1"/>
      <c r="G383" s="1"/>
      <c r="H383" s="1"/>
      <c r="I383" s="1"/>
      <c r="J383" s="1"/>
      <c r="K383" s="1"/>
      <c r="L383" s="1"/>
      <c r="M383" s="1"/>
      <c r="N383" s="426"/>
      <c r="O383" s="426"/>
      <c r="P383" s="426"/>
      <c r="Q383" s="426"/>
    </row>
    <row r="384" spans="1:17" x14ac:dyDescent="0.2">
      <c r="A384" s="1"/>
      <c r="B384" s="1"/>
      <c r="C384" s="1"/>
      <c r="D384" s="1"/>
      <c r="E384" s="1"/>
      <c r="F384" s="1"/>
      <c r="G384" s="1"/>
      <c r="H384" s="1"/>
      <c r="I384" s="1"/>
      <c r="J384" s="1"/>
      <c r="K384" s="1"/>
      <c r="L384" s="1"/>
      <c r="M384" s="1"/>
      <c r="N384" s="426"/>
      <c r="O384" s="426"/>
      <c r="P384" s="426"/>
      <c r="Q384" s="426"/>
    </row>
    <row r="385" spans="1:17" x14ac:dyDescent="0.2">
      <c r="A385" s="1"/>
      <c r="B385" s="1"/>
      <c r="C385" s="1"/>
      <c r="D385" s="1"/>
      <c r="E385" s="1"/>
      <c r="F385" s="1"/>
      <c r="G385" s="1"/>
      <c r="H385" s="1"/>
      <c r="I385" s="1"/>
      <c r="J385" s="1"/>
      <c r="K385" s="1"/>
      <c r="L385" s="1"/>
      <c r="M385" s="1"/>
      <c r="N385" s="426"/>
      <c r="O385" s="426"/>
      <c r="P385" s="426"/>
      <c r="Q385" s="426"/>
    </row>
    <row r="386" spans="1:17" x14ac:dyDescent="0.2">
      <c r="A386" s="1"/>
      <c r="B386" s="1"/>
      <c r="C386" s="1"/>
      <c r="D386" s="1"/>
      <c r="E386" s="1"/>
      <c r="F386" s="1"/>
      <c r="G386" s="1"/>
      <c r="H386" s="1"/>
      <c r="I386" s="1"/>
      <c r="J386" s="1"/>
      <c r="K386" s="1"/>
      <c r="L386" s="1"/>
      <c r="M386" s="1"/>
      <c r="N386" s="426"/>
      <c r="O386" s="426"/>
      <c r="P386" s="426"/>
      <c r="Q386" s="426"/>
    </row>
    <row r="387" spans="1:17" x14ac:dyDescent="0.2">
      <c r="A387" s="1"/>
      <c r="B387" s="1"/>
      <c r="C387" s="1"/>
      <c r="D387" s="1"/>
      <c r="E387" s="1"/>
      <c r="F387" s="1"/>
      <c r="G387" s="1"/>
      <c r="H387" s="1"/>
      <c r="I387" s="1"/>
      <c r="J387" s="1"/>
      <c r="K387" s="1"/>
      <c r="L387" s="1"/>
      <c r="M387" s="1"/>
      <c r="N387" s="426"/>
      <c r="O387" s="426"/>
      <c r="P387" s="426"/>
      <c r="Q387" s="426"/>
    </row>
    <row r="388" spans="1:17" x14ac:dyDescent="0.2">
      <c r="A388" s="1"/>
      <c r="B388" s="1"/>
      <c r="C388" s="1"/>
      <c r="D388" s="1"/>
      <c r="E388" s="1"/>
      <c r="F388" s="1"/>
      <c r="G388" s="1"/>
      <c r="H388" s="1"/>
      <c r="I388" s="1"/>
      <c r="J388" s="1"/>
      <c r="K388" s="1"/>
      <c r="L388" s="1"/>
      <c r="M388" s="1"/>
      <c r="N388" s="426"/>
      <c r="O388" s="426"/>
      <c r="P388" s="426"/>
      <c r="Q388" s="426"/>
    </row>
    <row r="389" spans="1:17" x14ac:dyDescent="0.2">
      <c r="A389" s="1"/>
      <c r="B389" s="1"/>
      <c r="C389" s="1"/>
      <c r="D389" s="1"/>
      <c r="E389" s="1"/>
      <c r="F389" s="1"/>
      <c r="G389" s="1"/>
      <c r="H389" s="1"/>
      <c r="I389" s="1"/>
      <c r="J389" s="1"/>
      <c r="K389" s="1"/>
      <c r="L389" s="1"/>
      <c r="M389" s="1"/>
      <c r="N389" s="426"/>
      <c r="O389" s="426"/>
      <c r="P389" s="426"/>
      <c r="Q389" s="426"/>
    </row>
    <row r="390" spans="1:17" x14ac:dyDescent="0.2">
      <c r="A390" s="1"/>
      <c r="B390" s="1"/>
      <c r="C390" s="1"/>
      <c r="D390" s="1"/>
      <c r="E390" s="1"/>
      <c r="F390" s="1"/>
      <c r="G390" s="1"/>
      <c r="H390" s="1"/>
      <c r="I390" s="1"/>
      <c r="J390" s="1"/>
      <c r="K390" s="1"/>
      <c r="L390" s="1"/>
      <c r="M390" s="1"/>
      <c r="N390" s="426"/>
      <c r="O390" s="426"/>
      <c r="P390" s="426"/>
      <c r="Q390" s="426"/>
    </row>
    <row r="391" spans="1:17" x14ac:dyDescent="0.2">
      <c r="A391" s="1"/>
      <c r="B391" s="1"/>
      <c r="C391" s="1"/>
      <c r="D391" s="1"/>
      <c r="E391" s="1"/>
      <c r="F391" s="1"/>
      <c r="G391" s="1"/>
      <c r="H391" s="1"/>
      <c r="I391" s="1"/>
      <c r="J391" s="1"/>
      <c r="K391" s="1"/>
      <c r="L391" s="1"/>
      <c r="M391" s="1"/>
      <c r="N391" s="426"/>
      <c r="O391" s="426"/>
      <c r="P391" s="426"/>
      <c r="Q391" s="426"/>
    </row>
    <row r="392" spans="1:17" x14ac:dyDescent="0.2">
      <c r="A392" s="1"/>
      <c r="B392" s="1"/>
      <c r="C392" s="1"/>
      <c r="D392" s="1"/>
      <c r="E392" s="1"/>
      <c r="F392" s="1"/>
      <c r="G392" s="1"/>
      <c r="H392" s="1"/>
      <c r="I392" s="1"/>
      <c r="J392" s="1"/>
      <c r="K392" s="1"/>
      <c r="L392" s="1"/>
      <c r="M392" s="1"/>
      <c r="N392" s="426"/>
      <c r="O392" s="426"/>
      <c r="P392" s="426"/>
      <c r="Q392" s="426"/>
    </row>
    <row r="393" spans="1:17" x14ac:dyDescent="0.2">
      <c r="A393" s="1"/>
      <c r="B393" s="1"/>
      <c r="C393" s="1"/>
      <c r="D393" s="1"/>
      <c r="E393" s="1"/>
      <c r="F393" s="1"/>
      <c r="G393" s="1"/>
      <c r="H393" s="1"/>
      <c r="I393" s="1"/>
      <c r="J393" s="1"/>
      <c r="K393" s="1"/>
      <c r="L393" s="1"/>
      <c r="M393" s="1"/>
      <c r="N393" s="426"/>
      <c r="O393" s="426"/>
      <c r="P393" s="426"/>
      <c r="Q393" s="426"/>
    </row>
    <row r="394" spans="1:17" x14ac:dyDescent="0.2">
      <c r="A394" s="1"/>
      <c r="B394" s="1"/>
      <c r="C394" s="1"/>
      <c r="D394" s="1"/>
      <c r="E394" s="1"/>
      <c r="F394" s="1"/>
      <c r="G394" s="1"/>
      <c r="H394" s="1"/>
      <c r="I394" s="1"/>
      <c r="J394" s="1"/>
      <c r="K394" s="1"/>
      <c r="L394" s="1"/>
      <c r="M394" s="1"/>
      <c r="N394" s="426"/>
      <c r="O394" s="426"/>
      <c r="P394" s="426"/>
      <c r="Q394" s="426"/>
    </row>
    <row r="395" spans="1:17" x14ac:dyDescent="0.2">
      <c r="A395" s="1"/>
      <c r="B395" s="1"/>
      <c r="C395" s="1"/>
      <c r="D395" s="1"/>
      <c r="E395" s="1"/>
      <c r="F395" s="1"/>
      <c r="G395" s="1"/>
      <c r="H395" s="1"/>
      <c r="I395" s="1"/>
      <c r="J395" s="1"/>
      <c r="K395" s="1"/>
      <c r="L395" s="1"/>
      <c r="M395" s="1"/>
      <c r="N395" s="426"/>
      <c r="O395" s="426"/>
      <c r="P395" s="426"/>
      <c r="Q395" s="426"/>
    </row>
    <row r="396" spans="1:17" x14ac:dyDescent="0.2">
      <c r="A396" s="1"/>
      <c r="B396" s="1"/>
      <c r="C396" s="1"/>
      <c r="D396" s="1"/>
      <c r="E396" s="1"/>
      <c r="F396" s="1"/>
      <c r="G396" s="1"/>
      <c r="H396" s="1"/>
      <c r="I396" s="1"/>
      <c r="J396" s="1"/>
      <c r="K396" s="1"/>
      <c r="L396" s="1"/>
      <c r="M396" s="1"/>
      <c r="N396" s="426"/>
      <c r="O396" s="426"/>
      <c r="P396" s="426"/>
      <c r="Q396" s="426"/>
    </row>
    <row r="397" spans="1:17" x14ac:dyDescent="0.2">
      <c r="A397" s="1"/>
      <c r="B397" s="1"/>
      <c r="C397" s="1"/>
      <c r="D397" s="1"/>
      <c r="E397" s="1"/>
      <c r="F397" s="1"/>
      <c r="G397" s="1"/>
      <c r="H397" s="1"/>
      <c r="I397" s="1"/>
      <c r="J397" s="1"/>
      <c r="K397" s="1"/>
      <c r="L397" s="1"/>
      <c r="M397" s="1"/>
      <c r="N397" s="426"/>
      <c r="O397" s="426"/>
      <c r="P397" s="426"/>
      <c r="Q397" s="426"/>
    </row>
    <row r="398" spans="1:17" x14ac:dyDescent="0.2">
      <c r="A398" s="1"/>
      <c r="B398" s="1"/>
      <c r="C398" s="1"/>
      <c r="D398" s="1"/>
      <c r="E398" s="1"/>
      <c r="F398" s="1"/>
      <c r="G398" s="1"/>
      <c r="H398" s="1"/>
      <c r="I398" s="1"/>
      <c r="J398" s="1"/>
      <c r="K398" s="1"/>
      <c r="L398" s="1"/>
      <c r="M398" s="1"/>
      <c r="N398" s="426"/>
      <c r="O398" s="426"/>
      <c r="P398" s="426"/>
      <c r="Q398" s="426"/>
    </row>
  </sheetData>
  <sheetProtection password="DFAF" sheet="1" objects="1" scenarios="1"/>
  <phoneticPr fontId="2" type="noConversion"/>
  <conditionalFormatting sqref="D51 C24:D24 D28 D18:D20 C34 C37 C42:D42 D45 D48 D53 D56 D60 D62 D64 D66">
    <cfRule type="expression" dxfId="110" priority="31" stopIfTrue="1">
      <formula>$C$70="x"</formula>
    </cfRule>
  </conditionalFormatting>
  <conditionalFormatting sqref="D5:F5">
    <cfRule type="cellIs" dxfId="109" priority="32" stopIfTrue="1" operator="equal">
      <formula>"x"</formula>
    </cfRule>
  </conditionalFormatting>
  <conditionalFormatting sqref="C5">
    <cfRule type="cellIs" dxfId="108" priority="33" stopIfTrue="1" operator="equal">
      <formula>"x"</formula>
    </cfRule>
  </conditionalFormatting>
  <conditionalFormatting sqref="B13">
    <cfRule type="expression" dxfId="107" priority="34" stopIfTrue="1">
      <formula>$C$12="x"</formula>
    </cfRule>
  </conditionalFormatting>
  <conditionalFormatting sqref="C18">
    <cfRule type="expression" dxfId="106" priority="35" stopIfTrue="1">
      <formula>$K$16=1</formula>
    </cfRule>
  </conditionalFormatting>
  <conditionalFormatting sqref="C19">
    <cfRule type="expression" dxfId="105" priority="36" stopIfTrue="1">
      <formula>$K$18=1</formula>
    </cfRule>
  </conditionalFormatting>
  <conditionalFormatting sqref="C20">
    <cfRule type="expression" dxfId="104" priority="37" stopIfTrue="1">
      <formula>$K$26=1</formula>
    </cfRule>
  </conditionalFormatting>
  <conditionalFormatting sqref="C25:D25">
    <cfRule type="expression" dxfId="103" priority="38" stopIfTrue="1">
      <formula>$K$28+$K$30=1</formula>
    </cfRule>
    <cfRule type="expression" dxfId="102" priority="39" stopIfTrue="1">
      <formula>$K$30=0.5</formula>
    </cfRule>
    <cfRule type="expression" dxfId="101" priority="40" stopIfTrue="1">
      <formula>$K$28=0.5</formula>
    </cfRule>
  </conditionalFormatting>
  <conditionalFormatting sqref="C28">
    <cfRule type="expression" dxfId="100" priority="41" stopIfTrue="1">
      <formula>$K$32=1</formula>
    </cfRule>
  </conditionalFormatting>
  <conditionalFormatting sqref="C35">
    <cfRule type="expression" dxfId="99" priority="42" stopIfTrue="1">
      <formula>$K$34=1</formula>
    </cfRule>
  </conditionalFormatting>
  <conditionalFormatting sqref="C38">
    <cfRule type="expression" dxfId="98" priority="43" stopIfTrue="1">
      <formula>$K$36=1</formula>
    </cfRule>
  </conditionalFormatting>
  <conditionalFormatting sqref="C43:D43">
    <cfRule type="expression" dxfId="97" priority="44" stopIfTrue="1">
      <formula>$K$38=1</formula>
    </cfRule>
  </conditionalFormatting>
  <conditionalFormatting sqref="C45">
    <cfRule type="expression" dxfId="96" priority="45" stopIfTrue="1">
      <formula>$K$42=1</formula>
    </cfRule>
  </conditionalFormatting>
  <conditionalFormatting sqref="C48">
    <cfRule type="expression" dxfId="95" priority="46" stopIfTrue="1">
      <formula>$K$44=1</formula>
    </cfRule>
  </conditionalFormatting>
  <conditionalFormatting sqref="C51">
    <cfRule type="expression" dxfId="94" priority="47" stopIfTrue="1">
      <formula>$K$46=1</formula>
    </cfRule>
  </conditionalFormatting>
  <conditionalFormatting sqref="C53">
    <cfRule type="expression" dxfId="93" priority="48" stopIfTrue="1">
      <formula>$K$48=1</formula>
    </cfRule>
  </conditionalFormatting>
  <conditionalFormatting sqref="C56">
    <cfRule type="expression" dxfId="92" priority="49" stopIfTrue="1">
      <formula>$K$50=1</formula>
    </cfRule>
  </conditionalFormatting>
  <conditionalFormatting sqref="C60">
    <cfRule type="expression" dxfId="91" priority="50" stopIfTrue="1">
      <formula>$K$52=1</formula>
    </cfRule>
  </conditionalFormatting>
  <conditionalFormatting sqref="C62:C63 C65 C67:C68">
    <cfRule type="expression" dxfId="90" priority="51" stopIfTrue="1">
      <formula>$K$54=1</formula>
    </cfRule>
  </conditionalFormatting>
  <conditionalFormatting sqref="C64">
    <cfRule type="expression" dxfId="89" priority="52" stopIfTrue="1">
      <formula>$K$56=1</formula>
    </cfRule>
  </conditionalFormatting>
  <conditionalFormatting sqref="D120">
    <cfRule type="expression" dxfId="88" priority="53" stopIfTrue="1">
      <formula>$K$114=1</formula>
    </cfRule>
  </conditionalFormatting>
  <conditionalFormatting sqref="F120">
    <cfRule type="expression" dxfId="87" priority="54" stopIfTrue="1">
      <formula>$K$116=1</formula>
    </cfRule>
  </conditionalFormatting>
  <conditionalFormatting sqref="D121 F121">
    <cfRule type="expression" dxfId="86" priority="55" stopIfTrue="1">
      <formula>$C$124="x"</formula>
    </cfRule>
  </conditionalFormatting>
  <conditionalFormatting sqref="C66">
    <cfRule type="expression" dxfId="85" priority="56" stopIfTrue="1">
      <formula>$K$58=1</formula>
    </cfRule>
  </conditionalFormatting>
  <conditionalFormatting sqref="E131">
    <cfRule type="expression" dxfId="84" priority="57" stopIfTrue="1">
      <formula>$K$132=1</formula>
    </cfRule>
  </conditionalFormatting>
  <conditionalFormatting sqref="G136">
    <cfRule type="expression" dxfId="83" priority="58" stopIfTrue="1">
      <formula>$K$135=1</formula>
    </cfRule>
  </conditionalFormatting>
  <conditionalFormatting sqref="E137">
    <cfRule type="expression" dxfId="82" priority="59" stopIfTrue="1">
      <formula>$K$138=1</formula>
    </cfRule>
  </conditionalFormatting>
  <conditionalFormatting sqref="D139">
    <cfRule type="expression" dxfId="81" priority="60" stopIfTrue="1">
      <formula>$K$140=1</formula>
    </cfRule>
  </conditionalFormatting>
  <conditionalFormatting sqref="D142">
    <cfRule type="expression" dxfId="80" priority="61" stopIfTrue="1">
      <formula>$K$143=1</formula>
    </cfRule>
  </conditionalFormatting>
  <conditionalFormatting sqref="F148">
    <cfRule type="expression" dxfId="79" priority="62" stopIfTrue="1">
      <formula>$K$149=1</formula>
    </cfRule>
  </conditionalFormatting>
  <conditionalFormatting sqref="E132 H136 E138 D140 F149">
    <cfRule type="expression" dxfId="78" priority="63" stopIfTrue="1">
      <formula>$C$152="x"</formula>
    </cfRule>
  </conditionalFormatting>
  <conditionalFormatting sqref="E157">
    <cfRule type="expression" dxfId="77" priority="64" stopIfTrue="1">
      <formula>$K$156=1</formula>
    </cfRule>
  </conditionalFormatting>
  <conditionalFormatting sqref="F161">
    <cfRule type="expression" dxfId="76" priority="65" stopIfTrue="1">
      <formula>$K$158=1</formula>
    </cfRule>
  </conditionalFormatting>
  <conditionalFormatting sqref="H162">
    <cfRule type="expression" dxfId="75" priority="66" stopIfTrue="1">
      <formula>$K$160=1</formula>
    </cfRule>
  </conditionalFormatting>
  <conditionalFormatting sqref="D166">
    <cfRule type="expression" dxfId="74" priority="67" stopIfTrue="1">
      <formula>$K$162=1</formula>
    </cfRule>
  </conditionalFormatting>
  <conditionalFormatting sqref="G171">
    <cfRule type="expression" dxfId="73" priority="68" stopIfTrue="1">
      <formula>$K$164=1</formula>
    </cfRule>
  </conditionalFormatting>
  <conditionalFormatting sqref="F172">
    <cfRule type="expression" dxfId="72" priority="69" stopIfTrue="1">
      <formula>$K$166=1</formula>
    </cfRule>
  </conditionalFormatting>
  <conditionalFormatting sqref="E174">
    <cfRule type="expression" dxfId="71" priority="70" stopIfTrue="1">
      <formula>$K$168=1</formula>
    </cfRule>
  </conditionalFormatting>
  <conditionalFormatting sqref="G178">
    <cfRule type="expression" dxfId="70" priority="71" stopIfTrue="1">
      <formula>$K$170=1</formula>
    </cfRule>
  </conditionalFormatting>
  <conditionalFormatting sqref="D182">
    <cfRule type="expression" dxfId="69" priority="72" stopIfTrue="1">
      <formula>$K$172=1</formula>
    </cfRule>
  </conditionalFormatting>
  <conditionalFormatting sqref="B176:B184">
    <cfRule type="expression" dxfId="68" priority="73" stopIfTrue="1">
      <formula>$C$186="x"</formula>
    </cfRule>
  </conditionalFormatting>
  <conditionalFormatting sqref="B175">
    <cfRule type="expression" dxfId="67" priority="74" stopIfTrue="1">
      <formula>$C$186="x"</formula>
    </cfRule>
  </conditionalFormatting>
  <conditionalFormatting sqref="B202">
    <cfRule type="expression" dxfId="66" priority="75" stopIfTrue="1">
      <formula>$C$208="x"</formula>
    </cfRule>
  </conditionalFormatting>
  <conditionalFormatting sqref="B203:B207">
    <cfRule type="expression" dxfId="65" priority="76" stopIfTrue="1">
      <formula>$C$208="x"</formula>
    </cfRule>
  </conditionalFormatting>
  <conditionalFormatting sqref="F191">
    <cfRule type="expression" dxfId="64" priority="77" stopIfTrue="1">
      <formula>$K$190=1</formula>
    </cfRule>
    <cfRule type="expression" dxfId="63" priority="78" stopIfTrue="1">
      <formula>$K$192=1</formula>
    </cfRule>
  </conditionalFormatting>
  <conditionalFormatting sqref="E196">
    <cfRule type="expression" dxfId="62" priority="79" stopIfTrue="1">
      <formula>$K$197=1</formula>
    </cfRule>
  </conditionalFormatting>
  <conditionalFormatting sqref="D199">
    <cfRule type="expression" dxfId="61" priority="80" stopIfTrue="1">
      <formula>$K$200=1</formula>
    </cfRule>
  </conditionalFormatting>
  <conditionalFormatting sqref="F204">
    <cfRule type="expression" dxfId="60" priority="81" stopIfTrue="1">
      <formula>$K$203=1</formula>
    </cfRule>
  </conditionalFormatting>
  <conditionalFormatting sqref="D205">
    <cfRule type="expression" dxfId="59" priority="82" stopIfTrue="1">
      <formula>$K$206=1</formula>
    </cfRule>
  </conditionalFormatting>
  <conditionalFormatting sqref="D216">
    <cfRule type="expression" dxfId="58" priority="83" stopIfTrue="1">
      <formula>$K$215=1</formula>
    </cfRule>
  </conditionalFormatting>
  <conditionalFormatting sqref="D215">
    <cfRule type="expression" dxfId="57" priority="84" stopIfTrue="1">
      <formula>$C$218="x"</formula>
    </cfRule>
  </conditionalFormatting>
  <conditionalFormatting sqref="D229">
    <cfRule type="cellIs" dxfId="56" priority="85" stopIfTrue="1" operator="equal">
      <formula>"gefeliciteerd!"</formula>
    </cfRule>
  </conditionalFormatting>
  <conditionalFormatting sqref="F105 G106:G107 G104">
    <cfRule type="expression" dxfId="55" priority="12">
      <formula>$C$109="x"</formula>
    </cfRule>
  </conditionalFormatting>
  <conditionalFormatting sqref="G89:G90 G92:G94 F91">
    <cfRule type="expression" dxfId="54" priority="10">
      <formula>$C$96="x"</formula>
    </cfRule>
  </conditionalFormatting>
  <conditionalFormatting sqref="F89:F90 F92:F94 G91">
    <cfRule type="expression" dxfId="53" priority="8">
      <formula>$C$96="x"</formula>
    </cfRule>
  </conditionalFormatting>
  <conditionalFormatting sqref="F104 G105 F106:F107">
    <cfRule type="expression" dxfId="52" priority="7">
      <formula>$C$109="x"</formula>
    </cfRule>
  </conditionalFormatting>
  <conditionalFormatting sqref="H89:H94">
    <cfRule type="expression" dxfId="51" priority="6">
      <formula>$C$96="x"</formula>
    </cfRule>
  </conditionalFormatting>
  <conditionalFormatting sqref="H104:H107">
    <cfRule type="expression" dxfId="50" priority="5">
      <formula>$C$109="x"</formula>
    </cfRule>
  </conditionalFormatting>
  <conditionalFormatting sqref="B81">
    <cfRule type="containsText" dxfId="49" priority="177" operator="containsText" text="Het juiste antwoord">
      <formula>NOT(ISERROR(SEARCH("Het juiste antwoord",B81)))</formula>
    </cfRule>
    <cfRule type="expression" dxfId="48" priority="178" stopIfTrue="1">
      <formula>$C$1186="x"</formula>
    </cfRule>
  </conditionalFormatting>
  <conditionalFormatting sqref="D89:D94 D104:D107">
    <cfRule type="expression" dxfId="47" priority="179">
      <formula>$C$1243="x"</formula>
    </cfRule>
  </conditionalFormatting>
  <conditionalFormatting sqref="D143">
    <cfRule type="expression" dxfId="46" priority="4" stopIfTrue="1">
      <formula>$C$152="x"</formula>
    </cfRule>
  </conditionalFormatting>
  <conditionalFormatting sqref="E76">
    <cfRule type="cellIs" dxfId="45" priority="3" stopIfTrue="1" operator="equal">
      <formula>"x"</formula>
    </cfRule>
  </conditionalFormatting>
  <conditionalFormatting sqref="D76">
    <cfRule type="cellIs" dxfId="44" priority="2" stopIfTrue="1" operator="equal">
      <formula>"x"</formula>
    </cfRule>
  </conditionalFormatting>
  <conditionalFormatting sqref="F76:G76">
    <cfRule type="cellIs" dxfId="43" priority="1" stopIfTrue="1" operator="equal">
      <formula>"x"</formula>
    </cfRule>
  </conditionalFormatting>
  <hyperlinks>
    <hyperlink ref="D128" r:id="rId1"/>
    <hyperlink ref="D212" r:id="rId2"/>
    <hyperlink ref="B220" r:id="rId3" display="http://www.youtube.com/watch?v=rYaZ57Bn4pQ&amp;feature=fvw`"/>
    <hyperlink ref="C165" r:id="rId4"/>
    <hyperlink ref="C80" r:id="rId5"/>
    <hyperlink ref="C162" r:id="rId6"/>
    <hyperlink ref="C172:C173" r:id="rId7" display="Hersey en"/>
    <hyperlink ref="C166" r:id="rId8"/>
  </hyperlinks>
  <pageMargins left="0.75" right="0.75" top="1" bottom="1" header="0.5" footer="0.5"/>
  <pageSetup paperSize="9" orientation="portrait" horizontalDpi="4294967292" verticalDpi="4294967292"/>
  <headerFooter alignWithMargins="0"/>
  <ignoredErrors>
    <ignoredError sqref="B204 J91 J105" formula="1"/>
  </ignoredErrors>
  <drawing r:id="rId9"/>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17"/>
  <sheetViews>
    <sheetView topLeftCell="A7" zoomScale="130" zoomScaleNormal="130" zoomScalePageLayoutView="150" workbookViewId="0">
      <selection activeCell="B12" sqref="B12"/>
    </sheetView>
  </sheetViews>
  <sheetFormatPr defaultColWidth="8.85546875" defaultRowHeight="12.75" x14ac:dyDescent="0.2"/>
  <cols>
    <col min="1" max="1" width="3.85546875" customWidth="1"/>
    <col min="2" max="2" width="60.5703125" customWidth="1"/>
    <col min="3" max="6" width="15.7109375" customWidth="1"/>
    <col min="7" max="8" width="17.140625" customWidth="1"/>
    <col min="9" max="9" width="2" customWidth="1"/>
    <col min="10" max="10" width="10.7109375" hidden="1" customWidth="1"/>
    <col min="11" max="11" width="8.85546875" hidden="1" customWidth="1"/>
    <col min="12" max="13" width="13.85546875" hidden="1" customWidth="1"/>
    <col min="14" max="14" width="7.140625" customWidth="1"/>
  </cols>
  <sheetData>
    <row r="1" spans="1:14" x14ac:dyDescent="0.2">
      <c r="A1" s="1"/>
      <c r="B1" s="105" t="s">
        <v>2608</v>
      </c>
      <c r="C1" s="112" t="s">
        <v>785</v>
      </c>
      <c r="D1" s="1"/>
      <c r="E1" s="1"/>
      <c r="F1" s="1"/>
      <c r="G1" s="1"/>
      <c r="H1" s="1"/>
      <c r="I1" s="1"/>
      <c r="J1" s="1"/>
      <c r="K1" s="1"/>
      <c r="L1" s="1"/>
      <c r="M1" s="1"/>
      <c r="N1" s="1"/>
    </row>
    <row r="2" spans="1:14" x14ac:dyDescent="0.2">
      <c r="A2" s="14"/>
      <c r="B2" s="14"/>
      <c r="C2" s="14"/>
      <c r="D2" s="14"/>
      <c r="E2" s="14"/>
      <c r="F2" s="14"/>
      <c r="G2" s="14"/>
      <c r="H2" s="14"/>
      <c r="I2" s="14"/>
      <c r="J2" s="1"/>
      <c r="K2" s="1"/>
      <c r="L2" s="1"/>
      <c r="M2" s="1"/>
      <c r="N2" s="1"/>
    </row>
    <row r="3" spans="1:14" x14ac:dyDescent="0.2">
      <c r="A3" s="480"/>
      <c r="B3" s="480"/>
      <c r="C3" s="480"/>
      <c r="D3" s="1"/>
      <c r="E3" s="1"/>
      <c r="F3" s="1"/>
      <c r="G3" s="1"/>
      <c r="H3" s="1"/>
      <c r="I3" s="1"/>
      <c r="J3" s="1"/>
      <c r="K3" s="1"/>
      <c r="L3" s="1"/>
      <c r="M3" s="1"/>
      <c r="N3" s="1"/>
    </row>
    <row r="4" spans="1:14" x14ac:dyDescent="0.2">
      <c r="A4" s="480"/>
      <c r="B4" s="480" t="s">
        <v>1418</v>
      </c>
      <c r="C4" s="480"/>
      <c r="D4" s="1"/>
      <c r="E4" s="1"/>
      <c r="F4" s="1"/>
      <c r="G4" s="1"/>
      <c r="H4" s="1"/>
      <c r="I4" s="1"/>
      <c r="J4" s="1"/>
      <c r="K4" s="1"/>
      <c r="L4" s="1"/>
      <c r="M4" s="1"/>
      <c r="N4" s="1"/>
    </row>
    <row r="5" spans="1:14" x14ac:dyDescent="0.2">
      <c r="A5" s="480"/>
      <c r="B5" s="480" t="s">
        <v>2526</v>
      </c>
      <c r="C5" s="480"/>
      <c r="D5" s="62" t="s">
        <v>2529</v>
      </c>
      <c r="E5" s="94"/>
      <c r="F5" s="94"/>
      <c r="G5" s="94"/>
      <c r="H5" s="63"/>
      <c r="I5" s="1"/>
      <c r="J5" s="1"/>
      <c r="K5" s="1"/>
      <c r="L5" s="1"/>
      <c r="M5" s="1"/>
      <c r="N5" s="1"/>
    </row>
    <row r="6" spans="1:14" x14ac:dyDescent="0.2">
      <c r="A6" s="480"/>
      <c r="B6" s="480" t="s">
        <v>1419</v>
      </c>
      <c r="C6" s="480"/>
      <c r="D6" s="59"/>
      <c r="E6" s="18"/>
      <c r="F6" s="18"/>
      <c r="G6" s="18"/>
      <c r="H6" s="135"/>
      <c r="I6" s="1"/>
      <c r="J6" s="1"/>
      <c r="K6" s="1"/>
      <c r="L6" s="1"/>
      <c r="M6" s="1"/>
      <c r="N6" s="1"/>
    </row>
    <row r="7" spans="1:14" x14ac:dyDescent="0.2">
      <c r="A7" s="480"/>
      <c r="B7" s="480" t="s">
        <v>1420</v>
      </c>
      <c r="C7" s="480"/>
      <c r="D7" s="59" t="s">
        <v>2530</v>
      </c>
      <c r="E7" s="18"/>
      <c r="F7" s="18"/>
      <c r="G7" s="18"/>
      <c r="H7" s="135"/>
      <c r="I7" s="1"/>
      <c r="J7" s="1"/>
      <c r="K7" s="1"/>
      <c r="L7" s="1"/>
      <c r="M7" s="1"/>
      <c r="N7" s="1"/>
    </row>
    <row r="8" spans="1:14" x14ac:dyDescent="0.2">
      <c r="A8" s="480"/>
      <c r="B8" s="480" t="s">
        <v>2527</v>
      </c>
      <c r="C8" s="480"/>
      <c r="D8" s="129" t="s">
        <v>1422</v>
      </c>
      <c r="E8" s="85"/>
      <c r="F8" s="85"/>
      <c r="G8" s="85"/>
      <c r="H8" s="157"/>
      <c r="I8" s="1"/>
      <c r="J8" s="1"/>
      <c r="K8" s="1"/>
      <c r="L8" s="1"/>
      <c r="M8" s="1"/>
      <c r="N8" s="1"/>
    </row>
    <row r="9" spans="1:14" x14ac:dyDescent="0.2">
      <c r="A9" s="480"/>
      <c r="B9" s="480" t="s">
        <v>1421</v>
      </c>
      <c r="C9" s="480"/>
      <c r="D9" s="1"/>
      <c r="E9" s="1"/>
      <c r="F9" s="1"/>
      <c r="G9" s="1"/>
      <c r="H9" s="1"/>
      <c r="I9" s="1"/>
      <c r="J9" s="1"/>
      <c r="K9" s="1"/>
      <c r="L9" s="1"/>
      <c r="M9" s="1"/>
      <c r="N9" s="1"/>
    </row>
    <row r="10" spans="1:14" x14ac:dyDescent="0.2">
      <c r="A10" s="480"/>
      <c r="B10" s="480" t="s">
        <v>2528</v>
      </c>
      <c r="C10" s="480"/>
      <c r="D10" s="1"/>
      <c r="E10" s="1"/>
      <c r="F10" s="1"/>
      <c r="G10" s="1"/>
      <c r="H10" s="1"/>
      <c r="I10" s="1"/>
      <c r="J10" s="1"/>
      <c r="K10" s="1"/>
      <c r="L10" s="1"/>
      <c r="M10" s="1"/>
      <c r="N10" s="1"/>
    </row>
    <row r="11" spans="1:14" x14ac:dyDescent="0.2">
      <c r="A11" s="480"/>
      <c r="B11" s="480" t="s">
        <v>2777</v>
      </c>
      <c r="C11" s="480"/>
      <c r="D11" s="1"/>
      <c r="E11" s="1"/>
      <c r="F11" s="1"/>
      <c r="G11" s="1"/>
      <c r="H11" s="1"/>
      <c r="I11" s="1"/>
      <c r="J11" s="1"/>
      <c r="K11" s="1"/>
      <c r="L11" s="1"/>
      <c r="M11" s="1"/>
      <c r="N11" s="1"/>
    </row>
    <row r="12" spans="1:14" x14ac:dyDescent="0.2">
      <c r="A12" s="14"/>
      <c r="B12" s="14"/>
      <c r="C12" s="14"/>
      <c r="D12" s="14"/>
      <c r="E12" s="14"/>
      <c r="F12" s="14"/>
      <c r="G12" s="14"/>
      <c r="H12" s="14"/>
      <c r="I12" s="14"/>
      <c r="J12" s="1"/>
      <c r="K12" s="1"/>
      <c r="L12" s="1"/>
      <c r="M12" s="1"/>
      <c r="N12" s="1"/>
    </row>
    <row r="13" spans="1:14" x14ac:dyDescent="0.2">
      <c r="A13" s="1"/>
      <c r="B13" s="1"/>
      <c r="C13" s="1"/>
      <c r="D13" s="1"/>
      <c r="E13" s="1"/>
      <c r="F13" s="1"/>
      <c r="G13" s="1"/>
      <c r="H13" s="1"/>
      <c r="I13" s="1"/>
      <c r="J13" s="1"/>
      <c r="K13" s="1"/>
      <c r="L13" s="1"/>
      <c r="M13" s="1"/>
      <c r="N13" s="1"/>
    </row>
    <row r="14" spans="1:14" x14ac:dyDescent="0.2">
      <c r="A14" s="1" t="s">
        <v>998</v>
      </c>
      <c r="B14" s="1" t="s">
        <v>1423</v>
      </c>
      <c r="C14" s="1"/>
      <c r="D14" s="1"/>
      <c r="E14" s="1"/>
      <c r="F14" s="1"/>
      <c r="G14" s="1"/>
      <c r="H14" s="1"/>
      <c r="I14" s="1"/>
      <c r="J14" s="1"/>
      <c r="K14" s="1"/>
      <c r="L14" s="1"/>
      <c r="M14" s="1"/>
      <c r="N14" s="1"/>
    </row>
    <row r="15" spans="1:14" ht="13.5" thickBot="1" x14ac:dyDescent="0.25">
      <c r="A15" s="1"/>
      <c r="B15" s="1"/>
      <c r="C15" s="92" t="s">
        <v>304</v>
      </c>
      <c r="D15" s="92" t="s">
        <v>306</v>
      </c>
      <c r="E15" s="395" t="str">
        <f>IF(C42="x",M15,"")</f>
        <v/>
      </c>
      <c r="F15" s="1"/>
      <c r="G15" s="1"/>
      <c r="H15" s="1"/>
      <c r="I15" s="1"/>
      <c r="J15" s="1"/>
      <c r="K15" s="1"/>
      <c r="L15" s="1"/>
      <c r="M15" s="1" t="s">
        <v>878</v>
      </c>
      <c r="N15" s="1"/>
    </row>
    <row r="16" spans="1:14" ht="13.5" thickTop="1" x14ac:dyDescent="0.2">
      <c r="A16" s="54" t="s">
        <v>999</v>
      </c>
      <c r="B16" s="54" t="s">
        <v>1424</v>
      </c>
      <c r="C16" s="376" t="s">
        <v>995</v>
      </c>
      <c r="D16" s="516" t="s">
        <v>995</v>
      </c>
      <c r="E16" s="3" t="str">
        <f>IF(C42="x",M16,"")</f>
        <v/>
      </c>
      <c r="F16" s="1"/>
      <c r="G16" s="1"/>
      <c r="H16" s="1"/>
      <c r="I16" s="1"/>
      <c r="J16" s="5" t="str">
        <f>IF(D16="x","JUIST","")</f>
        <v/>
      </c>
      <c r="K16" s="5">
        <f t="shared" ref="K16:K22" si="0">ABS(IF(J16="JUIST","1","0"))</f>
        <v>0</v>
      </c>
      <c r="L16" s="3">
        <v>1</v>
      </c>
      <c r="M16" s="1" t="s">
        <v>306</v>
      </c>
      <c r="N16" s="1"/>
    </row>
    <row r="17" spans="1:14" x14ac:dyDescent="0.2">
      <c r="A17" s="54" t="s">
        <v>1000</v>
      </c>
      <c r="B17" s="54" t="s">
        <v>1425</v>
      </c>
      <c r="C17" s="43" t="s">
        <v>995</v>
      </c>
      <c r="D17" s="481" t="s">
        <v>995</v>
      </c>
      <c r="E17" s="3" t="str">
        <f>IF(C42="x",M17,"")</f>
        <v/>
      </c>
      <c r="F17" s="1"/>
      <c r="G17" s="1"/>
      <c r="H17" s="1"/>
      <c r="I17" s="1"/>
      <c r="J17" s="5" t="str">
        <f>IF(D17="x","JUIST","")</f>
        <v/>
      </c>
      <c r="K17" s="5">
        <f t="shared" si="0"/>
        <v>0</v>
      </c>
      <c r="L17" s="3">
        <v>1</v>
      </c>
      <c r="M17" s="1" t="s">
        <v>306</v>
      </c>
      <c r="N17" s="1"/>
    </row>
    <row r="18" spans="1:14" x14ac:dyDescent="0.2">
      <c r="A18" s="6" t="s">
        <v>1001</v>
      </c>
      <c r="B18" s="6" t="s">
        <v>1426</v>
      </c>
      <c r="C18" s="481" t="s">
        <v>995</v>
      </c>
      <c r="D18" s="43"/>
      <c r="E18" s="3" t="str">
        <f>IF(C42="x",M18,"")</f>
        <v/>
      </c>
      <c r="F18" s="1"/>
      <c r="G18" s="1"/>
      <c r="H18" s="1"/>
      <c r="I18" s="1"/>
      <c r="J18" s="5" t="str">
        <f>IF(C18="x","JUIST","")</f>
        <v/>
      </c>
      <c r="K18" s="5">
        <f t="shared" si="0"/>
        <v>0</v>
      </c>
      <c r="L18" s="3">
        <v>1</v>
      </c>
      <c r="M18" s="1" t="s">
        <v>304</v>
      </c>
      <c r="N18" s="1"/>
    </row>
    <row r="19" spans="1:14" x14ac:dyDescent="0.2">
      <c r="A19" s="54" t="s">
        <v>1002</v>
      </c>
      <c r="B19" s="54" t="s">
        <v>1427</v>
      </c>
      <c r="C19" s="481" t="s">
        <v>995</v>
      </c>
      <c r="D19" s="43"/>
      <c r="E19" s="3" t="str">
        <f>IF(C42="x",M19,"")</f>
        <v/>
      </c>
      <c r="F19" s="1"/>
      <c r="G19" s="1"/>
      <c r="H19" s="1"/>
      <c r="I19" s="1"/>
      <c r="J19" s="5" t="str">
        <f>IF(C19="x","JUIST","")</f>
        <v/>
      </c>
      <c r="K19" s="5">
        <f t="shared" si="0"/>
        <v>0</v>
      </c>
      <c r="L19" s="3">
        <v>1</v>
      </c>
      <c r="M19" s="1" t="s">
        <v>304</v>
      </c>
      <c r="N19" s="1"/>
    </row>
    <row r="20" spans="1:14" x14ac:dyDescent="0.2">
      <c r="A20" s="6" t="s">
        <v>863</v>
      </c>
      <c r="B20" s="6" t="s">
        <v>1428</v>
      </c>
      <c r="C20" s="43" t="s">
        <v>995</v>
      </c>
      <c r="D20" s="481" t="s">
        <v>995</v>
      </c>
      <c r="E20" s="3" t="str">
        <f>IF(C42="x",M20,"")</f>
        <v/>
      </c>
      <c r="F20" s="1"/>
      <c r="G20" s="1"/>
      <c r="H20" s="1"/>
      <c r="I20" s="1"/>
      <c r="J20" s="5" t="str">
        <f>IF(D20="x","JUIST","")</f>
        <v/>
      </c>
      <c r="K20" s="5">
        <f t="shared" si="0"/>
        <v>0</v>
      </c>
      <c r="L20" s="3">
        <v>1</v>
      </c>
      <c r="M20" s="1" t="s">
        <v>306</v>
      </c>
      <c r="N20" s="1"/>
    </row>
    <row r="21" spans="1:14" x14ac:dyDescent="0.2">
      <c r="A21" s="54" t="s">
        <v>1080</v>
      </c>
      <c r="B21" s="408" t="s">
        <v>2539</v>
      </c>
      <c r="C21" s="43" t="s">
        <v>995</v>
      </c>
      <c r="D21" s="481" t="s">
        <v>995</v>
      </c>
      <c r="E21" s="3" t="str">
        <f>IF(C42="x",M21,"")</f>
        <v/>
      </c>
      <c r="F21" s="1"/>
      <c r="G21" s="1"/>
      <c r="H21" s="1"/>
      <c r="I21" s="1"/>
      <c r="J21" s="5" t="str">
        <f>IF(D21="x","JUIST","")</f>
        <v/>
      </c>
      <c r="K21" s="5">
        <f t="shared" si="0"/>
        <v>0</v>
      </c>
      <c r="L21" s="3">
        <v>1</v>
      </c>
      <c r="M21" s="1" t="s">
        <v>306</v>
      </c>
      <c r="N21" s="1"/>
    </row>
    <row r="22" spans="1:14" x14ac:dyDescent="0.2">
      <c r="A22" s="54" t="s">
        <v>1082</v>
      </c>
      <c r="B22" s="54" t="s">
        <v>1429</v>
      </c>
      <c r="C22" s="481" t="s">
        <v>995</v>
      </c>
      <c r="D22" s="43"/>
      <c r="E22" s="3" t="str">
        <f>IF(C42="x",M22,"")</f>
        <v/>
      </c>
      <c r="F22" s="1"/>
      <c r="G22" s="1"/>
      <c r="H22" s="1"/>
      <c r="I22" s="1"/>
      <c r="J22" s="5" t="str">
        <f>IF(C22="x","JUIST","")</f>
        <v/>
      </c>
      <c r="K22" s="5">
        <f t="shared" si="0"/>
        <v>0</v>
      </c>
      <c r="L22" s="3">
        <v>1</v>
      </c>
      <c r="M22" s="1" t="s">
        <v>304</v>
      </c>
      <c r="N22" s="1"/>
    </row>
    <row r="23" spans="1:14" x14ac:dyDescent="0.2">
      <c r="A23" s="54" t="s">
        <v>322</v>
      </c>
      <c r="B23" s="54" t="s">
        <v>1430</v>
      </c>
      <c r="C23" s="407"/>
      <c r="D23" s="406"/>
      <c r="E23" s="3"/>
      <c r="F23" s="1"/>
      <c r="G23" s="1"/>
      <c r="H23" s="1"/>
      <c r="I23" s="1"/>
      <c r="J23" s="1"/>
      <c r="K23" s="1"/>
      <c r="L23" s="1"/>
      <c r="M23" s="1"/>
      <c r="N23" s="1"/>
    </row>
    <row r="24" spans="1:14" x14ac:dyDescent="0.2">
      <c r="A24" s="55"/>
      <c r="B24" s="55" t="s">
        <v>1431</v>
      </c>
      <c r="C24" s="43"/>
      <c r="D24" s="481" t="s">
        <v>995</v>
      </c>
      <c r="E24" s="3" t="str">
        <f>IF(C42="x",M24,"")</f>
        <v/>
      </c>
      <c r="F24" s="1"/>
      <c r="G24" s="1"/>
      <c r="H24" s="1"/>
      <c r="I24" s="1"/>
      <c r="J24" s="5" t="str">
        <f>IF(D24="x","JUIST","")</f>
        <v/>
      </c>
      <c r="K24" s="5">
        <f>ABS(IF(J24="JUIST","1","0"))</f>
        <v>0</v>
      </c>
      <c r="L24" s="3">
        <v>1</v>
      </c>
      <c r="M24" s="1" t="s">
        <v>306</v>
      </c>
      <c r="N24" s="1"/>
    </row>
    <row r="25" spans="1:14" x14ac:dyDescent="0.2">
      <c r="A25" s="54" t="s">
        <v>323</v>
      </c>
      <c r="B25" s="54" t="s">
        <v>1432</v>
      </c>
      <c r="C25" s="481" t="s">
        <v>995</v>
      </c>
      <c r="D25" s="43"/>
      <c r="E25" s="3" t="str">
        <f>IF(C42="x",M25,"")</f>
        <v/>
      </c>
      <c r="F25" s="1"/>
      <c r="G25" s="1"/>
      <c r="H25" s="1"/>
      <c r="I25" s="1"/>
      <c r="J25" s="5" t="str">
        <f>IF(C25="x","JUIST","")</f>
        <v/>
      </c>
      <c r="K25" s="5">
        <f>ABS(IF(J25="JUIST","1","0"))</f>
        <v>0</v>
      </c>
      <c r="L25" s="3">
        <v>1</v>
      </c>
      <c r="M25" s="1" t="s">
        <v>304</v>
      </c>
      <c r="N25" s="1"/>
    </row>
    <row r="26" spans="1:14" x14ac:dyDescent="0.2">
      <c r="A26" s="55" t="s">
        <v>1125</v>
      </c>
      <c r="B26" s="54" t="s">
        <v>1433</v>
      </c>
      <c r="C26" s="407"/>
      <c r="D26" s="406"/>
      <c r="E26" s="3"/>
      <c r="F26" s="1"/>
      <c r="G26" s="1"/>
      <c r="H26" s="1"/>
      <c r="I26" s="1"/>
      <c r="J26" s="1"/>
      <c r="K26" s="1"/>
      <c r="L26" s="1"/>
      <c r="M26" s="1"/>
      <c r="N26" s="1"/>
    </row>
    <row r="27" spans="1:14" x14ac:dyDescent="0.2">
      <c r="B27" s="55" t="s">
        <v>1434</v>
      </c>
      <c r="C27" s="43"/>
      <c r="D27" s="481" t="s">
        <v>995</v>
      </c>
      <c r="E27" s="3" t="str">
        <f>IF(C42="x",M27,"")</f>
        <v/>
      </c>
      <c r="F27" s="1"/>
      <c r="G27" s="1"/>
      <c r="H27" s="1"/>
      <c r="I27" s="1"/>
      <c r="J27" s="5" t="str">
        <f>IF(D27="x","JUIST","")</f>
        <v/>
      </c>
      <c r="K27" s="5">
        <f>ABS(IF(J27="JUIST","1","0"))</f>
        <v>0</v>
      </c>
      <c r="L27" s="3">
        <v>1</v>
      </c>
      <c r="M27" s="1" t="s">
        <v>306</v>
      </c>
      <c r="N27" s="1"/>
    </row>
    <row r="28" spans="1:14" x14ac:dyDescent="0.2">
      <c r="A28" s="55" t="s">
        <v>1130</v>
      </c>
      <c r="B28" s="54" t="s">
        <v>1435</v>
      </c>
      <c r="C28" s="407"/>
      <c r="D28" s="406"/>
      <c r="E28" s="3"/>
      <c r="F28" s="1"/>
      <c r="G28" s="1"/>
      <c r="H28" s="1"/>
      <c r="I28" s="1"/>
      <c r="J28" s="1"/>
      <c r="K28" s="1"/>
      <c r="L28" s="1"/>
      <c r="M28" s="1"/>
      <c r="N28" s="1"/>
    </row>
    <row r="29" spans="1:14" x14ac:dyDescent="0.2">
      <c r="B29" s="55" t="s">
        <v>1436</v>
      </c>
      <c r="C29" s="43"/>
      <c r="D29" s="481" t="s">
        <v>995</v>
      </c>
      <c r="E29" s="3" t="str">
        <f>IF(C42="x",M29,"")</f>
        <v/>
      </c>
      <c r="F29" s="1"/>
      <c r="G29" s="1"/>
      <c r="H29" s="1"/>
      <c r="I29" s="1"/>
      <c r="J29" s="5" t="str">
        <f>IF(D29="x","JUIST","")</f>
        <v/>
      </c>
      <c r="K29" s="5">
        <f>ABS(IF(J29="JUIST","1","0"))</f>
        <v>0</v>
      </c>
      <c r="L29" s="3">
        <v>1</v>
      </c>
      <c r="M29" s="1" t="s">
        <v>306</v>
      </c>
      <c r="N29" s="1"/>
    </row>
    <row r="30" spans="1:14" x14ac:dyDescent="0.2">
      <c r="A30" s="55" t="s">
        <v>1133</v>
      </c>
      <c r="B30" s="54" t="s">
        <v>2531</v>
      </c>
      <c r="C30" s="407"/>
      <c r="D30" s="406"/>
      <c r="E30" s="3"/>
      <c r="F30" s="1"/>
      <c r="G30" s="1"/>
      <c r="H30" s="1"/>
      <c r="I30" s="1"/>
      <c r="J30" s="1"/>
      <c r="K30" s="1"/>
      <c r="L30" s="1"/>
      <c r="M30" s="1"/>
      <c r="N30" s="1"/>
    </row>
    <row r="31" spans="1:14" x14ac:dyDescent="0.2">
      <c r="B31" s="55" t="s">
        <v>1437</v>
      </c>
      <c r="C31" s="43"/>
      <c r="D31" s="481" t="s">
        <v>995</v>
      </c>
      <c r="E31" s="3" t="str">
        <f>IF(C42="x",M31,"")</f>
        <v/>
      </c>
      <c r="F31" s="1"/>
      <c r="G31" s="1"/>
      <c r="H31" s="1"/>
      <c r="I31" s="1"/>
      <c r="J31" s="5" t="str">
        <f>IF(D31="x","JUIST","")</f>
        <v/>
      </c>
      <c r="K31" s="5">
        <f>ABS(IF(J31="JUIST","1","0"))</f>
        <v>0</v>
      </c>
      <c r="L31" s="3">
        <v>1</v>
      </c>
      <c r="M31" s="1" t="s">
        <v>306</v>
      </c>
      <c r="N31" s="1"/>
    </row>
    <row r="32" spans="1:14" x14ac:dyDescent="0.2">
      <c r="A32" s="55" t="s">
        <v>1137</v>
      </c>
      <c r="B32" s="54" t="s">
        <v>1438</v>
      </c>
      <c r="C32" s="407"/>
      <c r="D32" s="406"/>
      <c r="E32" s="3"/>
      <c r="F32" s="1"/>
      <c r="G32" s="1"/>
      <c r="H32" s="1"/>
      <c r="I32" s="1"/>
      <c r="J32" s="1"/>
      <c r="K32" s="1"/>
      <c r="L32" s="1"/>
      <c r="M32" s="1"/>
      <c r="N32" s="1"/>
    </row>
    <row r="33" spans="1:14" x14ac:dyDescent="0.2">
      <c r="B33" s="55" t="s">
        <v>1439</v>
      </c>
      <c r="C33" s="481" t="s">
        <v>995</v>
      </c>
      <c r="D33" s="481" t="s">
        <v>995</v>
      </c>
      <c r="E33" s="3" t="str">
        <f>IF(C42="x",M33,"")</f>
        <v/>
      </c>
      <c r="F33" s="1"/>
      <c r="G33" s="1"/>
      <c r="H33" s="1"/>
      <c r="I33" s="1"/>
      <c r="J33" s="5" t="str">
        <f>IF(C33="x","JUIST","")</f>
        <v/>
      </c>
      <c r="K33" s="5">
        <f>ABS(IF(J33="JUIST","1","0"))</f>
        <v>0</v>
      </c>
      <c r="L33" s="3">
        <v>1</v>
      </c>
      <c r="M33" s="1" t="s">
        <v>304</v>
      </c>
      <c r="N33" s="1"/>
    </row>
    <row r="34" spans="1:14" x14ac:dyDescent="0.2">
      <c r="A34" s="54" t="s">
        <v>1139</v>
      </c>
      <c r="B34" s="54" t="s">
        <v>1440</v>
      </c>
      <c r="C34" s="481" t="s">
        <v>995</v>
      </c>
      <c r="D34" s="481" t="s">
        <v>995</v>
      </c>
      <c r="E34" s="3" t="str">
        <f>IF(C42="x",M34,"")</f>
        <v/>
      </c>
      <c r="F34" s="1"/>
      <c r="G34" s="1"/>
      <c r="H34" s="1"/>
      <c r="I34" s="1"/>
      <c r="J34" s="5" t="str">
        <f>IF(C34="x","JUIST","")</f>
        <v/>
      </c>
      <c r="K34" s="5">
        <f>ABS(IF(J34="JUIST","1","0"))</f>
        <v>0</v>
      </c>
      <c r="L34" s="3">
        <v>1</v>
      </c>
      <c r="M34" s="1" t="s">
        <v>304</v>
      </c>
      <c r="N34" s="1"/>
    </row>
    <row r="35" spans="1:14" x14ac:dyDescent="0.2">
      <c r="A35" s="55" t="s">
        <v>1142</v>
      </c>
      <c r="B35" s="54" t="s">
        <v>2532</v>
      </c>
      <c r="C35" s="407" t="s">
        <v>995</v>
      </c>
      <c r="D35" s="406"/>
      <c r="E35" s="3"/>
      <c r="F35" s="1"/>
      <c r="G35" s="1"/>
      <c r="H35" s="1"/>
      <c r="I35" s="1"/>
      <c r="J35" s="1"/>
      <c r="K35" s="1"/>
      <c r="L35" s="1"/>
      <c r="M35" s="1"/>
      <c r="N35" s="1"/>
    </row>
    <row r="36" spans="1:14" x14ac:dyDescent="0.2">
      <c r="B36" s="55" t="s">
        <v>1441</v>
      </c>
      <c r="C36" s="481" t="s">
        <v>995</v>
      </c>
      <c r="D36" s="43" t="s">
        <v>995</v>
      </c>
      <c r="E36" s="3" t="str">
        <f>IF(C42="x",M36,"")</f>
        <v/>
      </c>
      <c r="F36" s="1"/>
      <c r="G36" s="1"/>
      <c r="H36" s="1"/>
      <c r="I36" s="1"/>
      <c r="J36" s="5" t="str">
        <f>IF(C36="x","JUIST","")</f>
        <v/>
      </c>
      <c r="K36" s="5">
        <f>ABS(IF(J36="JUIST","1","0"))</f>
        <v>0</v>
      </c>
      <c r="L36" s="3">
        <v>1</v>
      </c>
      <c r="M36" s="1" t="s">
        <v>304</v>
      </c>
      <c r="N36" s="1"/>
    </row>
    <row r="37" spans="1:14" x14ac:dyDescent="0.2">
      <c r="A37" s="55" t="s">
        <v>1146</v>
      </c>
      <c r="B37" s="54" t="s">
        <v>1442</v>
      </c>
      <c r="C37" s="407"/>
      <c r="D37" s="406"/>
      <c r="E37" s="3"/>
      <c r="F37" s="1"/>
      <c r="G37" s="1"/>
      <c r="H37" s="1"/>
      <c r="I37" s="1"/>
      <c r="J37" s="1"/>
      <c r="K37" s="1"/>
      <c r="L37" s="1"/>
      <c r="M37" s="1"/>
      <c r="N37" s="1"/>
    </row>
    <row r="38" spans="1:14" x14ac:dyDescent="0.2">
      <c r="B38" s="55" t="s">
        <v>2533</v>
      </c>
      <c r="C38" s="481" t="s">
        <v>995</v>
      </c>
      <c r="D38" s="481" t="s">
        <v>995</v>
      </c>
      <c r="E38" s="3" t="str">
        <f>IF(C42="x",M38,"")</f>
        <v/>
      </c>
      <c r="F38" s="1"/>
      <c r="G38" s="1"/>
      <c r="H38" s="1"/>
      <c r="I38" s="1"/>
      <c r="J38" s="5" t="str">
        <f>IF(D38="x","JUIST","")</f>
        <v/>
      </c>
      <c r="K38" s="5">
        <f>ABS(IF(J38="JUIST","1","0"))</f>
        <v>0</v>
      </c>
      <c r="L38" s="3">
        <v>1</v>
      </c>
      <c r="M38" s="1" t="s">
        <v>306</v>
      </c>
      <c r="N38" s="1"/>
    </row>
    <row r="39" spans="1:14" x14ac:dyDescent="0.2">
      <c r="A39" s="28" t="s">
        <v>1158</v>
      </c>
      <c r="B39" s="54" t="s">
        <v>2534</v>
      </c>
      <c r="C39" s="407"/>
      <c r="D39" s="406"/>
      <c r="E39" s="3"/>
      <c r="F39" s="1"/>
      <c r="G39" s="1"/>
      <c r="H39" s="1"/>
      <c r="I39" s="1"/>
      <c r="J39" s="1"/>
      <c r="K39" s="1"/>
      <c r="L39" s="1"/>
      <c r="M39" s="1"/>
      <c r="N39" s="1"/>
    </row>
    <row r="40" spans="1:14" x14ac:dyDescent="0.2">
      <c r="B40" s="28" t="s">
        <v>1443</v>
      </c>
      <c r="C40" s="318" t="s">
        <v>995</v>
      </c>
      <c r="D40" s="318" t="s">
        <v>995</v>
      </c>
      <c r="E40" s="3" t="str">
        <f>IF(C42="x",M40,"")</f>
        <v/>
      </c>
      <c r="F40" s="1"/>
      <c r="G40" s="1"/>
      <c r="H40" s="1"/>
      <c r="I40" s="1"/>
      <c r="J40" s="5" t="str">
        <f>IF(D40="x","JUIST","")</f>
        <v/>
      </c>
      <c r="K40" s="5">
        <f>ABS(IF(J40="JUIST","1","0"))</f>
        <v>0</v>
      </c>
      <c r="L40" s="3">
        <v>1</v>
      </c>
      <c r="M40" s="1" t="s">
        <v>306</v>
      </c>
      <c r="N40" s="1"/>
    </row>
    <row r="41" spans="1:14" x14ac:dyDescent="0.2">
      <c r="A41" s="1"/>
      <c r="B41" s="1"/>
      <c r="C41" s="1"/>
      <c r="D41" s="1"/>
      <c r="E41" s="1"/>
      <c r="F41" s="1"/>
      <c r="G41" s="1"/>
      <c r="H41" s="1"/>
      <c r="I41" s="1"/>
      <c r="J41" s="1"/>
      <c r="K41" s="1"/>
      <c r="L41" s="1"/>
      <c r="M41" s="1"/>
      <c r="N41" s="1"/>
    </row>
    <row r="42" spans="1:14" x14ac:dyDescent="0.2">
      <c r="A42" s="1"/>
      <c r="B42" s="82" t="s">
        <v>1033</v>
      </c>
      <c r="C42" s="318" t="s">
        <v>995</v>
      </c>
      <c r="D42" s="1"/>
      <c r="E42" s="1"/>
      <c r="F42" s="1"/>
      <c r="G42" s="1"/>
      <c r="H42" s="1"/>
      <c r="I42" s="1"/>
      <c r="J42" s="1"/>
      <c r="K42" s="1"/>
      <c r="L42" s="1"/>
      <c r="M42" s="1"/>
      <c r="N42" s="1"/>
    </row>
    <row r="43" spans="1:14" x14ac:dyDescent="0.2">
      <c r="A43" s="1"/>
      <c r="B43" s="1"/>
      <c r="C43" s="1"/>
      <c r="D43" s="1"/>
      <c r="E43" s="1"/>
      <c r="F43" s="1"/>
      <c r="G43" s="1"/>
      <c r="H43" s="1"/>
      <c r="I43" s="1"/>
      <c r="J43" s="1"/>
      <c r="K43" s="1"/>
      <c r="L43" s="1"/>
      <c r="M43" s="1"/>
      <c r="N43" s="1"/>
    </row>
    <row r="44" spans="1:14" x14ac:dyDescent="0.2">
      <c r="A44" s="14"/>
      <c r="B44" s="14"/>
      <c r="C44" s="14"/>
      <c r="D44" s="14"/>
      <c r="E44" s="14"/>
      <c r="F44" s="14"/>
      <c r="G44" s="14"/>
      <c r="H44" s="14"/>
      <c r="I44" s="14"/>
      <c r="J44" s="1"/>
      <c r="K44" s="1"/>
      <c r="L44" s="1"/>
      <c r="M44" s="1"/>
      <c r="N44" s="1"/>
    </row>
    <row r="45" spans="1:14" x14ac:dyDescent="0.2">
      <c r="A45" s="1"/>
      <c r="B45" s="1"/>
      <c r="C45" s="1"/>
      <c r="D45" s="1"/>
      <c r="E45" s="1"/>
      <c r="F45" s="1"/>
      <c r="G45" s="1"/>
      <c r="H45" s="1"/>
      <c r="I45" s="1"/>
      <c r="J45" s="1"/>
      <c r="K45" s="1"/>
      <c r="L45" s="1"/>
      <c r="M45" s="1"/>
      <c r="N45" s="1"/>
    </row>
    <row r="46" spans="1:14" x14ac:dyDescent="0.2">
      <c r="A46" s="1" t="s">
        <v>1006</v>
      </c>
      <c r="B46" s="67" t="s">
        <v>2732</v>
      </c>
      <c r="C46" s="1"/>
      <c r="D46" s="1"/>
      <c r="E46" s="1"/>
      <c r="F46" s="1"/>
      <c r="G46" s="1"/>
      <c r="H46" s="1"/>
      <c r="I46" s="1"/>
      <c r="J46" s="1"/>
      <c r="K46" s="1"/>
      <c r="L46" s="1"/>
      <c r="M46" s="1"/>
      <c r="N46" s="1"/>
    </row>
    <row r="47" spans="1:14" ht="13.5" thickBot="1" x14ac:dyDescent="0.25">
      <c r="A47" s="1"/>
      <c r="B47" s="482" t="s">
        <v>1889</v>
      </c>
      <c r="C47" s="92" t="s">
        <v>304</v>
      </c>
      <c r="D47" s="92" t="s">
        <v>306</v>
      </c>
      <c r="E47" s="395" t="str">
        <f>IF(C73="x",M47,"")</f>
        <v/>
      </c>
      <c r="F47" s="1"/>
      <c r="G47" s="1"/>
      <c r="H47" s="1"/>
      <c r="I47" s="1"/>
      <c r="J47" s="1"/>
      <c r="K47" s="1"/>
      <c r="L47" s="1"/>
      <c r="M47" s="1" t="s">
        <v>878</v>
      </c>
      <c r="N47" s="1"/>
    </row>
    <row r="48" spans="1:14" ht="13.5" thickTop="1" x14ac:dyDescent="0.2">
      <c r="A48" s="54" t="s">
        <v>999</v>
      </c>
      <c r="B48" s="54" t="s">
        <v>1444</v>
      </c>
      <c r="C48" s="376" t="s">
        <v>995</v>
      </c>
      <c r="D48" s="376" t="s">
        <v>995</v>
      </c>
      <c r="E48" s="3" t="str">
        <f>IF(C73="x",M48,"")</f>
        <v/>
      </c>
      <c r="F48" s="1"/>
      <c r="G48" s="1"/>
      <c r="H48" s="1"/>
      <c r="I48" s="1"/>
      <c r="J48" s="5" t="str">
        <f>IF(D48="x","JUIST","")</f>
        <v/>
      </c>
      <c r="K48" s="5">
        <f>ABS(IF(J48="JUIST","1","0"))</f>
        <v>0</v>
      </c>
      <c r="L48" s="3">
        <v>1</v>
      </c>
      <c r="M48" s="1" t="s">
        <v>306</v>
      </c>
      <c r="N48" s="1"/>
    </row>
    <row r="49" spans="1:14" x14ac:dyDescent="0.2">
      <c r="A49" s="6" t="s">
        <v>1000</v>
      </c>
      <c r="B49" s="6" t="s">
        <v>1445</v>
      </c>
      <c r="C49" s="10" t="s">
        <v>995</v>
      </c>
      <c r="D49" s="10" t="s">
        <v>995</v>
      </c>
      <c r="E49" s="3" t="str">
        <f>IF(C73="x",M49,"")</f>
        <v/>
      </c>
      <c r="F49" s="1"/>
      <c r="G49" s="1"/>
      <c r="H49" s="1"/>
      <c r="I49" s="1"/>
      <c r="J49" s="5" t="str">
        <f>IF(C49="x","JUIST","")</f>
        <v/>
      </c>
      <c r="K49" s="5">
        <f>ABS(IF(J49="JUIST","1","0"))</f>
        <v>0</v>
      </c>
      <c r="L49" s="3">
        <v>1</v>
      </c>
      <c r="M49" s="1" t="s">
        <v>304</v>
      </c>
      <c r="N49" s="1"/>
    </row>
    <row r="50" spans="1:14" x14ac:dyDescent="0.2">
      <c r="A50" s="6" t="s">
        <v>1001</v>
      </c>
      <c r="B50" s="6" t="s">
        <v>1446</v>
      </c>
      <c r="C50" s="10" t="s">
        <v>995</v>
      </c>
      <c r="D50" s="10" t="s">
        <v>995</v>
      </c>
      <c r="E50" s="3" t="str">
        <f>IF(C73="x",M50,"")</f>
        <v/>
      </c>
      <c r="F50" s="1"/>
      <c r="G50" s="1"/>
      <c r="H50" s="1"/>
      <c r="I50" s="1"/>
      <c r="J50" s="5" t="str">
        <f>IF(C50="x","JUIST","")</f>
        <v/>
      </c>
      <c r="K50" s="5">
        <f>ABS(IF(J50="JUIST","1","0"))</f>
        <v>0</v>
      </c>
      <c r="L50" s="3">
        <v>1</v>
      </c>
      <c r="M50" s="1" t="s">
        <v>304</v>
      </c>
      <c r="N50" s="1"/>
    </row>
    <row r="51" spans="1:14" x14ac:dyDescent="0.2">
      <c r="A51" s="6" t="s">
        <v>1002</v>
      </c>
      <c r="B51" s="6" t="s">
        <v>1447</v>
      </c>
      <c r="C51" s="10" t="s">
        <v>995</v>
      </c>
      <c r="D51" s="10" t="s">
        <v>995</v>
      </c>
      <c r="E51" s="3" t="str">
        <f>IF(C73="x",M51,"")</f>
        <v/>
      </c>
      <c r="F51" s="1"/>
      <c r="G51" s="1"/>
      <c r="H51" s="1"/>
      <c r="I51" s="1"/>
      <c r="J51" s="5" t="str">
        <f>IF(D51="x","JUIST","")</f>
        <v/>
      </c>
      <c r="K51" s="5">
        <f>ABS(IF(J51="JUIST","1","0"))</f>
        <v>0</v>
      </c>
      <c r="L51" s="3">
        <v>1</v>
      </c>
      <c r="M51" s="1" t="s">
        <v>306</v>
      </c>
      <c r="N51" s="1"/>
    </row>
    <row r="52" spans="1:14" x14ac:dyDescent="0.2">
      <c r="A52" s="55" t="s">
        <v>863</v>
      </c>
      <c r="B52" s="54" t="s">
        <v>1448</v>
      </c>
      <c r="C52" s="407"/>
      <c r="D52" s="406"/>
      <c r="E52" s="1"/>
      <c r="F52" s="1"/>
      <c r="G52" s="1"/>
      <c r="H52" s="1"/>
      <c r="I52" s="1"/>
      <c r="J52" s="1"/>
      <c r="K52" s="1"/>
      <c r="L52" s="1"/>
      <c r="M52" s="1"/>
      <c r="N52" s="1"/>
    </row>
    <row r="53" spans="1:14" x14ac:dyDescent="0.2">
      <c r="A53" s="55"/>
      <c r="B53" s="55" t="s">
        <v>1449</v>
      </c>
      <c r="C53" s="407"/>
      <c r="D53" s="406"/>
      <c r="E53" s="1"/>
      <c r="F53" s="1"/>
      <c r="G53" s="1"/>
      <c r="H53" s="1"/>
      <c r="I53" s="1"/>
      <c r="J53" s="1"/>
      <c r="K53" s="1"/>
      <c r="L53" s="1"/>
      <c r="M53" s="1"/>
      <c r="N53" s="1"/>
    </row>
    <row r="54" spans="1:14" x14ac:dyDescent="0.2">
      <c r="B54" s="55" t="s">
        <v>1450</v>
      </c>
      <c r="C54" s="10" t="s">
        <v>995</v>
      </c>
      <c r="D54" s="10" t="s">
        <v>995</v>
      </c>
      <c r="E54" s="3" t="str">
        <f>IF(C73="x",M54,"")</f>
        <v/>
      </c>
      <c r="F54" s="1"/>
      <c r="G54" s="1"/>
      <c r="H54" s="1"/>
      <c r="I54" s="1"/>
      <c r="J54" s="5" t="str">
        <f>IF(C54="x","JUIST","")</f>
        <v/>
      </c>
      <c r="K54" s="5">
        <f>ABS(IF(J54="JUIST","1","0"))</f>
        <v>0</v>
      </c>
      <c r="L54" s="3">
        <v>1</v>
      </c>
      <c r="M54" s="1" t="s">
        <v>304</v>
      </c>
      <c r="N54" s="1"/>
    </row>
    <row r="55" spans="1:14" x14ac:dyDescent="0.2">
      <c r="A55" s="55" t="s">
        <v>1080</v>
      </c>
      <c r="B55" s="54" t="s">
        <v>1451</v>
      </c>
      <c r="C55" s="407"/>
      <c r="D55" s="406"/>
      <c r="E55" s="1"/>
      <c r="F55" s="1"/>
      <c r="G55" s="1"/>
      <c r="H55" s="1"/>
      <c r="I55" s="1"/>
      <c r="J55" s="1"/>
      <c r="K55" s="1"/>
      <c r="L55" s="1"/>
      <c r="M55" s="1"/>
      <c r="N55" s="1"/>
    </row>
    <row r="56" spans="1:14" x14ac:dyDescent="0.2">
      <c r="B56" s="55" t="s">
        <v>1452</v>
      </c>
      <c r="C56" s="10" t="s">
        <v>995</v>
      </c>
      <c r="D56" s="10" t="s">
        <v>995</v>
      </c>
      <c r="E56" s="3" t="str">
        <f>IF(C73="x",M56,"")</f>
        <v/>
      </c>
      <c r="F56" s="1"/>
      <c r="G56" s="1"/>
      <c r="H56" s="1"/>
      <c r="I56" s="1"/>
      <c r="J56" s="5" t="str">
        <f>IF(D56="x","JUIST","")</f>
        <v/>
      </c>
      <c r="K56" s="5">
        <f>ABS(IF(J56="JUIST","1","0"))</f>
        <v>0</v>
      </c>
      <c r="L56" s="3">
        <v>1</v>
      </c>
      <c r="M56" s="1" t="s">
        <v>306</v>
      </c>
      <c r="N56" s="1"/>
    </row>
    <row r="57" spans="1:14" x14ac:dyDescent="0.2">
      <c r="A57" s="55" t="s">
        <v>1082</v>
      </c>
      <c r="B57" s="54" t="s">
        <v>2535</v>
      </c>
      <c r="C57" s="407"/>
      <c r="D57" s="406"/>
      <c r="E57" s="1"/>
      <c r="F57" s="1"/>
      <c r="G57" s="1"/>
      <c r="H57" s="1"/>
      <c r="I57" s="1"/>
      <c r="J57" s="1"/>
      <c r="K57" s="1"/>
      <c r="L57" s="1"/>
      <c r="M57" s="1"/>
      <c r="N57" s="1"/>
    </row>
    <row r="58" spans="1:14" x14ac:dyDescent="0.2">
      <c r="A58" s="55"/>
      <c r="B58" s="55" t="s">
        <v>1453</v>
      </c>
      <c r="C58" s="407"/>
      <c r="D58" s="406"/>
      <c r="E58" s="1"/>
      <c r="F58" s="1"/>
      <c r="G58" s="1"/>
      <c r="H58" s="1"/>
      <c r="I58" s="1"/>
      <c r="J58" s="1"/>
      <c r="K58" s="1"/>
      <c r="L58" s="1"/>
      <c r="M58" s="1"/>
      <c r="N58" s="1"/>
    </row>
    <row r="59" spans="1:14" x14ac:dyDescent="0.2">
      <c r="B59" s="55" t="s">
        <v>1454</v>
      </c>
      <c r="C59" s="10" t="s">
        <v>995</v>
      </c>
      <c r="D59" s="10" t="s">
        <v>995</v>
      </c>
      <c r="E59" s="3" t="str">
        <f>IF(C73="x",M59,"")</f>
        <v/>
      </c>
      <c r="F59" s="1"/>
      <c r="G59" s="1"/>
      <c r="H59" s="1"/>
      <c r="I59" s="1"/>
      <c r="J59" s="5" t="str">
        <f>IF(C59="x","JUIST","")</f>
        <v/>
      </c>
      <c r="K59" s="5">
        <f>ABS(IF(J59="JUIST","1","0"))</f>
        <v>0</v>
      </c>
      <c r="L59" s="3">
        <v>1</v>
      </c>
      <c r="M59" s="1" t="s">
        <v>304</v>
      </c>
      <c r="N59" s="1"/>
    </row>
    <row r="60" spans="1:14" x14ac:dyDescent="0.2">
      <c r="A60" s="54" t="s">
        <v>322</v>
      </c>
      <c r="B60" s="54" t="s">
        <v>1455</v>
      </c>
      <c r="C60" s="10" t="s">
        <v>995</v>
      </c>
      <c r="D60" s="10" t="s">
        <v>995</v>
      </c>
      <c r="E60" s="3" t="str">
        <f>IF(C73="x",M60,"")</f>
        <v/>
      </c>
      <c r="F60" s="1"/>
      <c r="G60" s="1"/>
      <c r="H60" s="1"/>
      <c r="I60" s="1"/>
      <c r="J60" s="5" t="str">
        <f>IF(D60="x","JUIST","")</f>
        <v/>
      </c>
      <c r="K60" s="5">
        <f>ABS(IF(J60="JUIST","1","0"))</f>
        <v>0</v>
      </c>
      <c r="L60" s="3">
        <v>1</v>
      </c>
      <c r="M60" s="1" t="s">
        <v>306</v>
      </c>
      <c r="N60" s="1"/>
    </row>
    <row r="61" spans="1:14" x14ac:dyDescent="0.2">
      <c r="A61" s="54" t="s">
        <v>323</v>
      </c>
      <c r="B61" s="54" t="s">
        <v>1456</v>
      </c>
      <c r="C61" s="10" t="s">
        <v>995</v>
      </c>
      <c r="D61" s="10" t="s">
        <v>995</v>
      </c>
      <c r="E61" s="3" t="str">
        <f>IF(C73="x",M61,"")</f>
        <v/>
      </c>
      <c r="F61" s="1"/>
      <c r="G61" s="1"/>
      <c r="H61" s="1"/>
      <c r="I61" s="1"/>
      <c r="J61" s="5" t="str">
        <f>IF(C61="x","JUIST","")</f>
        <v/>
      </c>
      <c r="K61" s="5">
        <f>ABS(IF(J61="JUIST","1","0"))</f>
        <v>0</v>
      </c>
      <c r="L61" s="3">
        <v>1</v>
      </c>
      <c r="M61" s="1" t="s">
        <v>304</v>
      </c>
      <c r="N61" s="1"/>
    </row>
    <row r="62" spans="1:14" x14ac:dyDescent="0.2">
      <c r="A62" s="55" t="s">
        <v>1125</v>
      </c>
      <c r="B62" s="54" t="s">
        <v>1457</v>
      </c>
      <c r="C62" s="407"/>
      <c r="D62" s="406"/>
      <c r="E62" s="1"/>
      <c r="F62" s="1"/>
      <c r="G62" s="1"/>
      <c r="H62" s="1"/>
      <c r="I62" s="1"/>
      <c r="J62" s="1"/>
      <c r="K62" s="1"/>
      <c r="L62" s="1"/>
      <c r="M62" s="1"/>
      <c r="N62" s="1"/>
    </row>
    <row r="63" spans="1:14" x14ac:dyDescent="0.2">
      <c r="B63" s="55" t="s">
        <v>1458</v>
      </c>
      <c r="C63" s="10" t="s">
        <v>995</v>
      </c>
      <c r="D63" s="10" t="s">
        <v>995</v>
      </c>
      <c r="E63" s="3" t="str">
        <f>IF(C73="x",M63,"")</f>
        <v/>
      </c>
      <c r="F63" s="1"/>
      <c r="G63" s="1"/>
      <c r="H63" s="1"/>
      <c r="I63" s="1"/>
      <c r="J63" s="5" t="str">
        <f>IF(C63="x","JUIST","")</f>
        <v/>
      </c>
      <c r="K63" s="5">
        <f>ABS(IF(J63="JUIST","1","0"))</f>
        <v>0</v>
      </c>
      <c r="L63" s="3">
        <v>1</v>
      </c>
      <c r="M63" s="67" t="s">
        <v>304</v>
      </c>
      <c r="N63" s="1"/>
    </row>
    <row r="64" spans="1:14" x14ac:dyDescent="0.2">
      <c r="A64" s="55" t="s">
        <v>1130</v>
      </c>
      <c r="B64" s="54" t="s">
        <v>2540</v>
      </c>
      <c r="C64" s="407"/>
      <c r="D64" s="406"/>
      <c r="E64" s="1"/>
      <c r="F64" s="1"/>
      <c r="G64" s="1"/>
      <c r="H64" s="1"/>
      <c r="I64" s="1"/>
      <c r="J64" s="1"/>
      <c r="K64" s="1"/>
      <c r="L64" s="1"/>
      <c r="M64" s="1"/>
      <c r="N64" s="1"/>
    </row>
    <row r="65" spans="1:14" x14ac:dyDescent="0.2">
      <c r="B65" s="55" t="s">
        <v>2541</v>
      </c>
      <c r="C65" s="10" t="s">
        <v>995</v>
      </c>
      <c r="D65" s="10" t="s">
        <v>995</v>
      </c>
      <c r="E65" s="3" t="str">
        <f>IF(C73="x",M65,"")</f>
        <v/>
      </c>
      <c r="F65" s="1"/>
      <c r="G65" s="1"/>
      <c r="H65" s="1"/>
      <c r="I65" s="1"/>
      <c r="J65" s="5" t="str">
        <f>IF(C65="x","JUIST","")</f>
        <v/>
      </c>
      <c r="K65" s="5">
        <f>ABS(IF(J65="JUIST","1","0"))</f>
        <v>0</v>
      </c>
      <c r="L65" s="3">
        <v>1</v>
      </c>
      <c r="M65" s="67" t="s">
        <v>1987</v>
      </c>
      <c r="N65" s="1"/>
    </row>
    <row r="66" spans="1:14" x14ac:dyDescent="0.2">
      <c r="A66" s="55" t="s">
        <v>1133</v>
      </c>
      <c r="B66" s="54" t="s">
        <v>2536</v>
      </c>
      <c r="C66" s="407"/>
      <c r="D66" s="406"/>
      <c r="E66" s="1"/>
      <c r="F66" s="1"/>
      <c r="G66" s="1"/>
      <c r="H66" s="1"/>
      <c r="I66" s="1"/>
      <c r="J66" s="1"/>
      <c r="K66" s="1"/>
      <c r="L66" s="1"/>
      <c r="M66" s="1"/>
      <c r="N66" s="1"/>
    </row>
    <row r="67" spans="1:14" x14ac:dyDescent="0.2">
      <c r="A67" s="55"/>
      <c r="B67" s="55" t="s">
        <v>1463</v>
      </c>
      <c r="C67" s="407"/>
      <c r="D67" s="406"/>
      <c r="E67" s="1"/>
      <c r="F67" s="1"/>
      <c r="G67" s="1"/>
      <c r="H67" s="1"/>
      <c r="I67" s="1"/>
      <c r="J67" s="1"/>
      <c r="K67" s="1"/>
      <c r="L67" s="1"/>
      <c r="M67" s="1"/>
      <c r="N67" s="1"/>
    </row>
    <row r="68" spans="1:14" x14ac:dyDescent="0.2">
      <c r="B68" s="55" t="s">
        <v>1459</v>
      </c>
      <c r="C68" s="10" t="s">
        <v>995</v>
      </c>
      <c r="D68" s="10" t="s">
        <v>995</v>
      </c>
      <c r="E68" s="3" t="str">
        <f>IF(C73="x",M68,"")</f>
        <v/>
      </c>
      <c r="F68" s="1"/>
      <c r="G68" s="1"/>
      <c r="H68" s="1"/>
      <c r="I68" s="1"/>
      <c r="J68" s="5" t="str">
        <f>IF(D68="x","JUIST","")</f>
        <v/>
      </c>
      <c r="K68" s="5">
        <f>ABS(IF(J68="JUIST","1","0"))</f>
        <v>0</v>
      </c>
      <c r="L68" s="3">
        <v>1</v>
      </c>
      <c r="M68" s="67" t="s">
        <v>1988</v>
      </c>
      <c r="N68" s="1"/>
    </row>
    <row r="69" spans="1:14" x14ac:dyDescent="0.2">
      <c r="A69" s="28" t="s">
        <v>1137</v>
      </c>
      <c r="B69" s="54" t="s">
        <v>2537</v>
      </c>
      <c r="C69" s="407"/>
      <c r="D69" s="406"/>
      <c r="E69" s="1"/>
      <c r="F69" s="1"/>
      <c r="G69" s="1"/>
      <c r="H69" s="1"/>
      <c r="I69" s="1"/>
      <c r="J69" s="1"/>
      <c r="K69" s="1"/>
      <c r="L69" s="1"/>
      <c r="M69" s="1"/>
      <c r="N69" s="1"/>
    </row>
    <row r="70" spans="1:14" x14ac:dyDescent="0.2">
      <c r="A70" s="55"/>
      <c r="B70" s="521" t="s">
        <v>2538</v>
      </c>
      <c r="C70" s="407"/>
      <c r="D70" s="406"/>
      <c r="E70" s="1"/>
      <c r="F70" s="1"/>
      <c r="G70" s="1"/>
      <c r="H70" s="1"/>
      <c r="I70" s="1"/>
      <c r="J70" s="1"/>
      <c r="K70" s="1"/>
      <c r="L70" s="1"/>
      <c r="M70" s="1"/>
      <c r="N70" s="1"/>
    </row>
    <row r="71" spans="1:14" x14ac:dyDescent="0.2">
      <c r="B71" s="28" t="s">
        <v>1460</v>
      </c>
      <c r="C71" s="10" t="s">
        <v>995</v>
      </c>
      <c r="D71" s="10" t="s">
        <v>995</v>
      </c>
      <c r="E71" s="3" t="str">
        <f>IF(C73="x",M71,"")</f>
        <v/>
      </c>
      <c r="F71" s="1"/>
      <c r="G71" s="1"/>
      <c r="H71" s="1"/>
      <c r="I71" s="1"/>
      <c r="J71" s="5" t="str">
        <f>IF(C71="x","JUIST","")</f>
        <v/>
      </c>
      <c r="K71" s="5">
        <f>ABS(IF(J71="JUIST","1","0"))</f>
        <v>0</v>
      </c>
      <c r="L71" s="3">
        <v>1</v>
      </c>
      <c r="M71" s="1" t="s">
        <v>304</v>
      </c>
      <c r="N71" s="1"/>
    </row>
    <row r="72" spans="1:14" x14ac:dyDescent="0.2">
      <c r="A72" s="1"/>
      <c r="B72" s="1"/>
      <c r="C72" s="88"/>
      <c r="D72" s="88"/>
      <c r="E72" s="1"/>
      <c r="F72" s="1"/>
      <c r="G72" s="1"/>
      <c r="H72" s="1"/>
      <c r="I72" s="1"/>
      <c r="J72" s="79"/>
      <c r="K72" s="79"/>
      <c r="L72" s="3"/>
      <c r="M72" s="1"/>
      <c r="N72" s="1"/>
    </row>
    <row r="73" spans="1:14" x14ac:dyDescent="0.2">
      <c r="A73" s="1"/>
      <c r="B73" s="82" t="s">
        <v>1033</v>
      </c>
      <c r="C73" s="318" t="s">
        <v>995</v>
      </c>
      <c r="D73" s="198"/>
      <c r="E73" s="1"/>
      <c r="F73" s="1"/>
      <c r="G73" s="1"/>
      <c r="H73" s="1"/>
      <c r="I73" s="1"/>
      <c r="J73" s="79"/>
      <c r="K73" s="79"/>
      <c r="L73" s="3"/>
      <c r="M73" s="1"/>
      <c r="N73" s="1"/>
    </row>
    <row r="74" spans="1:14" x14ac:dyDescent="0.2">
      <c r="A74" s="1"/>
      <c r="B74" s="1"/>
      <c r="C74" s="198"/>
      <c r="D74" s="198"/>
      <c r="E74" s="1"/>
      <c r="F74" s="1"/>
      <c r="G74" s="1"/>
      <c r="H74" s="1"/>
      <c r="I74" s="1"/>
      <c r="J74" s="79"/>
      <c r="K74" s="79"/>
      <c r="L74" s="3"/>
      <c r="M74" s="1"/>
      <c r="N74" s="1"/>
    </row>
    <row r="75" spans="1:14" x14ac:dyDescent="0.2">
      <c r="A75" s="14"/>
      <c r="B75" s="14"/>
      <c r="C75" s="14"/>
      <c r="D75" s="14"/>
      <c r="E75" s="14"/>
      <c r="F75" s="14"/>
      <c r="G75" s="14"/>
      <c r="H75" s="14"/>
      <c r="I75" s="14"/>
      <c r="J75" s="79"/>
      <c r="K75" s="79"/>
      <c r="L75" s="3"/>
      <c r="M75" s="1"/>
      <c r="N75" s="1"/>
    </row>
    <row r="76" spans="1:14" x14ac:dyDescent="0.2">
      <c r="A76" s="1"/>
      <c r="B76" s="1"/>
      <c r="C76" s="198"/>
      <c r="D76" s="198"/>
      <c r="E76" s="1"/>
      <c r="F76" s="1"/>
      <c r="G76" s="1"/>
      <c r="H76" s="1"/>
      <c r="I76" s="1"/>
      <c r="J76" s="79"/>
      <c r="K76" s="79"/>
      <c r="L76" s="3"/>
      <c r="M76" s="1"/>
      <c r="N76" s="1"/>
    </row>
    <row r="77" spans="1:14" x14ac:dyDescent="0.2">
      <c r="A77" s="1" t="s">
        <v>1032</v>
      </c>
      <c r="B77" s="173" t="s">
        <v>158</v>
      </c>
      <c r="C77" s="1"/>
      <c r="D77" s="1"/>
      <c r="E77" s="1"/>
      <c r="F77" s="1"/>
      <c r="G77" s="1"/>
      <c r="H77" s="1"/>
      <c r="I77" s="1"/>
      <c r="J77" s="1"/>
      <c r="K77" s="1"/>
      <c r="L77" s="1"/>
      <c r="M77" s="1"/>
      <c r="N77" s="1"/>
    </row>
    <row r="78" spans="1:14" ht="13.5" thickBot="1" x14ac:dyDescent="0.25">
      <c r="A78" s="1"/>
      <c r="B78" s="1"/>
      <c r="C78" s="92" t="s">
        <v>304</v>
      </c>
      <c r="D78" s="92" t="s">
        <v>306</v>
      </c>
      <c r="E78" s="395" t="str">
        <f>IF(C102="x",M78,"")</f>
        <v/>
      </c>
      <c r="F78" s="1"/>
      <c r="G78" s="1"/>
      <c r="H78" s="1"/>
      <c r="I78" s="1"/>
      <c r="J78" s="1"/>
      <c r="K78" s="1"/>
      <c r="L78" s="1"/>
      <c r="M78" s="1" t="s">
        <v>878</v>
      </c>
      <c r="N78" s="1"/>
    </row>
    <row r="79" spans="1:14" ht="13.5" thickTop="1" x14ac:dyDescent="0.2">
      <c r="A79" s="28" t="s">
        <v>999</v>
      </c>
      <c r="B79" s="54" t="s">
        <v>1461</v>
      </c>
      <c r="C79" s="407"/>
      <c r="D79" s="406"/>
      <c r="E79" s="468" t="s">
        <v>995</v>
      </c>
      <c r="F79" s="1"/>
      <c r="G79" s="1"/>
      <c r="H79" s="1"/>
      <c r="I79" s="1"/>
      <c r="J79" s="79"/>
      <c r="K79" s="79"/>
      <c r="L79" s="3"/>
      <c r="M79" s="1"/>
      <c r="N79" s="1"/>
    </row>
    <row r="80" spans="1:14" x14ac:dyDescent="0.2">
      <c r="B80" s="28" t="s">
        <v>1462</v>
      </c>
      <c r="C80" s="10" t="s">
        <v>995</v>
      </c>
      <c r="D80" s="10" t="s">
        <v>995</v>
      </c>
      <c r="E80" s="3" t="str">
        <f>IF(C102="x",M80,"")</f>
        <v/>
      </c>
      <c r="F80" s="1"/>
      <c r="G80" s="1"/>
      <c r="H80" s="1"/>
      <c r="I80" s="1"/>
      <c r="J80" s="5" t="str">
        <f>IF(D80="x","JUIST","")</f>
        <v/>
      </c>
      <c r="K80" s="5">
        <f>ABS(IF(J80="JUIST","1","0"))</f>
        <v>0</v>
      </c>
      <c r="L80" s="3">
        <v>1</v>
      </c>
      <c r="M80" s="1" t="s">
        <v>306</v>
      </c>
      <c r="N80" s="1"/>
    </row>
    <row r="81" spans="1:14" x14ac:dyDescent="0.2">
      <c r="A81" s="6" t="s">
        <v>1000</v>
      </c>
      <c r="B81" s="6" t="s">
        <v>2542</v>
      </c>
      <c r="C81" s="10" t="s">
        <v>995</v>
      </c>
      <c r="D81" s="10" t="s">
        <v>995</v>
      </c>
      <c r="E81" s="3" t="str">
        <f>IF(C102="x",M81,"")</f>
        <v/>
      </c>
      <c r="F81" s="1"/>
      <c r="G81" s="1"/>
      <c r="H81" s="1"/>
      <c r="I81" s="1"/>
      <c r="J81" s="5" t="str">
        <f>IF(D81="x","JUIST","")</f>
        <v/>
      </c>
      <c r="K81" s="5">
        <f>ABS(IF(J81="JUIST","1","0"))</f>
        <v>0</v>
      </c>
      <c r="L81" s="3">
        <v>1</v>
      </c>
      <c r="M81" s="1" t="s">
        <v>306</v>
      </c>
      <c r="N81" s="1"/>
    </row>
    <row r="82" spans="1:14" x14ac:dyDescent="0.2">
      <c r="A82" s="6" t="s">
        <v>1001</v>
      </c>
      <c r="B82" s="6" t="s">
        <v>2543</v>
      </c>
      <c r="C82" s="10" t="s">
        <v>995</v>
      </c>
      <c r="D82" s="10" t="s">
        <v>995</v>
      </c>
      <c r="E82" s="3" t="str">
        <f>IF(C102="x",M82,"")</f>
        <v/>
      </c>
      <c r="F82" s="1"/>
      <c r="G82" s="1"/>
      <c r="H82" s="1"/>
      <c r="I82" s="1"/>
      <c r="J82" s="5" t="str">
        <f>IF(C82="x","JUIST","")</f>
        <v/>
      </c>
      <c r="K82" s="5">
        <f>ABS(IF(J82="JUIST","1","0"))</f>
        <v>0</v>
      </c>
      <c r="L82" s="3">
        <v>1</v>
      </c>
      <c r="M82" s="1" t="s">
        <v>304</v>
      </c>
      <c r="N82" s="1"/>
    </row>
    <row r="83" spans="1:14" x14ac:dyDescent="0.2">
      <c r="A83" s="55" t="s">
        <v>1002</v>
      </c>
      <c r="B83" s="54" t="s">
        <v>1464</v>
      </c>
      <c r="C83" s="407"/>
      <c r="D83" s="406"/>
      <c r="E83" s="1"/>
      <c r="F83" s="1"/>
      <c r="G83" s="1"/>
      <c r="H83" s="1"/>
      <c r="I83" s="1"/>
      <c r="J83" s="79"/>
      <c r="K83" s="79"/>
      <c r="L83" s="3"/>
      <c r="M83" s="1"/>
      <c r="N83" s="1"/>
    </row>
    <row r="84" spans="1:14" x14ac:dyDescent="0.2">
      <c r="B84" s="55" t="s">
        <v>2544</v>
      </c>
      <c r="C84" s="10" t="s">
        <v>995</v>
      </c>
      <c r="D84" s="10" t="s">
        <v>995</v>
      </c>
      <c r="E84" s="3" t="str">
        <f>IF(C102="x",M84,"")</f>
        <v/>
      </c>
      <c r="F84" s="1"/>
      <c r="G84" s="1"/>
      <c r="H84" s="1"/>
      <c r="I84" s="1"/>
      <c r="J84" s="5" t="str">
        <f>IF(C84="x","JUIST","")</f>
        <v/>
      </c>
      <c r="K84" s="5">
        <f>ABS(IF(J84="JUIST","1","0"))</f>
        <v>0</v>
      </c>
      <c r="L84" s="3">
        <v>1</v>
      </c>
      <c r="M84" s="1" t="s">
        <v>304</v>
      </c>
      <c r="N84" s="1"/>
    </row>
    <row r="85" spans="1:14" x14ac:dyDescent="0.2">
      <c r="A85" s="55" t="s">
        <v>863</v>
      </c>
      <c r="B85" s="54" t="s">
        <v>2545</v>
      </c>
      <c r="C85" s="407"/>
      <c r="D85" s="406"/>
      <c r="E85" s="1"/>
      <c r="F85" s="1"/>
      <c r="G85" s="1"/>
      <c r="H85" s="1"/>
      <c r="I85" s="1"/>
      <c r="J85" s="79"/>
      <c r="K85" s="79"/>
      <c r="L85" s="3"/>
      <c r="M85" s="1"/>
      <c r="N85" s="1"/>
    </row>
    <row r="86" spans="1:14" x14ac:dyDescent="0.2">
      <c r="B86" s="55" t="s">
        <v>1465</v>
      </c>
      <c r="C86" s="10" t="s">
        <v>995</v>
      </c>
      <c r="D86" s="10" t="s">
        <v>995</v>
      </c>
      <c r="E86" s="3" t="str">
        <f>IF(C102="x",M86,"")</f>
        <v/>
      </c>
      <c r="F86" s="1"/>
      <c r="G86" s="1"/>
      <c r="H86" s="1"/>
      <c r="I86" s="1"/>
      <c r="J86" s="5" t="str">
        <f>IF(C86="x","JUIST","")</f>
        <v/>
      </c>
      <c r="K86" s="5">
        <f>ABS(IF(J86="JUIST","1","0"))</f>
        <v>0</v>
      </c>
      <c r="L86" s="3">
        <v>1</v>
      </c>
      <c r="M86" s="1" t="s">
        <v>304</v>
      </c>
      <c r="N86" s="1"/>
    </row>
    <row r="87" spans="1:14" x14ac:dyDescent="0.2">
      <c r="A87" s="54" t="s">
        <v>1080</v>
      </c>
      <c r="B87" s="54" t="s">
        <v>2554</v>
      </c>
      <c r="C87" s="10" t="s">
        <v>995</v>
      </c>
      <c r="D87" s="10" t="s">
        <v>995</v>
      </c>
      <c r="E87" s="3" t="str">
        <f>IF(C102="x",M87,"")</f>
        <v/>
      </c>
      <c r="F87" s="1"/>
      <c r="G87" s="1"/>
      <c r="H87" s="1"/>
      <c r="I87" s="1"/>
      <c r="J87" s="5" t="str">
        <f>IF(D87="x","JUIST","")</f>
        <v/>
      </c>
      <c r="K87" s="5">
        <f>ABS(IF(J87="JUIST","1","0"))</f>
        <v>0</v>
      </c>
      <c r="L87" s="3">
        <v>1</v>
      </c>
      <c r="M87" s="1" t="s">
        <v>306</v>
      </c>
      <c r="N87" s="1"/>
    </row>
    <row r="88" spans="1:14" x14ac:dyDescent="0.2">
      <c r="A88" s="55" t="s">
        <v>1082</v>
      </c>
      <c r="B88" s="54" t="s">
        <v>2546</v>
      </c>
      <c r="C88" s="407"/>
      <c r="D88" s="406"/>
      <c r="E88" s="1"/>
      <c r="F88" s="1"/>
      <c r="G88" s="1"/>
      <c r="H88" s="1"/>
      <c r="I88" s="1"/>
      <c r="J88" s="1"/>
      <c r="K88" s="1"/>
      <c r="L88" s="1"/>
      <c r="M88" s="1"/>
      <c r="N88" s="1"/>
    </row>
    <row r="89" spans="1:14" x14ac:dyDescent="0.2">
      <c r="A89" s="55"/>
      <c r="B89" s="55" t="s">
        <v>2547</v>
      </c>
      <c r="C89" s="407"/>
      <c r="D89" s="406"/>
      <c r="E89" s="1"/>
      <c r="F89" s="1"/>
      <c r="G89" s="1"/>
      <c r="H89" s="1"/>
      <c r="I89" s="1"/>
      <c r="J89" s="1"/>
      <c r="K89" s="1"/>
      <c r="L89" s="1"/>
      <c r="M89" s="1"/>
      <c r="N89" s="1"/>
    </row>
    <row r="90" spans="1:14" x14ac:dyDescent="0.2">
      <c r="B90" s="55" t="s">
        <v>2548</v>
      </c>
      <c r="C90" s="10" t="s">
        <v>995</v>
      </c>
      <c r="D90" s="10" t="s">
        <v>995</v>
      </c>
      <c r="E90" s="3" t="str">
        <f>IF(C102="x",M90,"")</f>
        <v/>
      </c>
      <c r="F90" s="1"/>
      <c r="G90" s="1"/>
      <c r="H90" s="1"/>
      <c r="I90" s="1"/>
      <c r="J90" s="5" t="str">
        <f>IF(C90="x","JUIST","")</f>
        <v/>
      </c>
      <c r="K90" s="5">
        <f>ABS(IF(J90="JUIST","1","0"))</f>
        <v>0</v>
      </c>
      <c r="L90" s="3">
        <v>1</v>
      </c>
      <c r="M90" s="1" t="s">
        <v>304</v>
      </c>
      <c r="N90" s="1"/>
    </row>
    <row r="91" spans="1:14" x14ac:dyDescent="0.2">
      <c r="A91" s="55" t="s">
        <v>322</v>
      </c>
      <c r="B91" s="54" t="s">
        <v>2549</v>
      </c>
      <c r="C91" s="407"/>
      <c r="D91" s="406"/>
      <c r="E91" s="1"/>
      <c r="F91" s="1"/>
      <c r="G91" s="1"/>
      <c r="H91" s="1"/>
      <c r="I91" s="1"/>
      <c r="J91" s="1"/>
      <c r="K91" s="1"/>
      <c r="L91" s="1"/>
      <c r="M91" s="1"/>
      <c r="N91" s="1"/>
    </row>
    <row r="92" spans="1:14" x14ac:dyDescent="0.2">
      <c r="B92" s="55" t="s">
        <v>2550</v>
      </c>
      <c r="C92" s="10" t="s">
        <v>995</v>
      </c>
      <c r="D92" s="10" t="s">
        <v>995</v>
      </c>
      <c r="E92" s="3" t="str">
        <f>IF(C102="x",M92,"")</f>
        <v/>
      </c>
      <c r="F92" s="1"/>
      <c r="G92" s="1"/>
      <c r="H92" s="1"/>
      <c r="I92" s="1"/>
      <c r="J92" s="5" t="str">
        <f>IF(D92="x","JUIST","")</f>
        <v/>
      </c>
      <c r="K92" s="5">
        <f>ABS(IF(J92="JUIST","1","0"))</f>
        <v>0</v>
      </c>
      <c r="L92" s="3">
        <v>1</v>
      </c>
      <c r="M92" s="1" t="s">
        <v>306</v>
      </c>
      <c r="N92" s="1"/>
    </row>
    <row r="93" spans="1:14" x14ac:dyDescent="0.2">
      <c r="A93" s="55" t="s">
        <v>323</v>
      </c>
      <c r="B93" s="54" t="s">
        <v>2551</v>
      </c>
      <c r="C93" s="407"/>
      <c r="D93" s="406"/>
      <c r="E93" s="1"/>
      <c r="F93" s="1"/>
      <c r="G93" s="1"/>
      <c r="H93" s="1"/>
      <c r="I93" s="1"/>
      <c r="J93" s="1"/>
      <c r="K93" s="1"/>
      <c r="L93" s="1"/>
      <c r="M93" s="1"/>
      <c r="N93" s="1"/>
    </row>
    <row r="94" spans="1:14" x14ac:dyDescent="0.2">
      <c r="A94" s="55"/>
      <c r="B94" s="55" t="s">
        <v>1466</v>
      </c>
      <c r="C94" s="407" t="s">
        <v>995</v>
      </c>
      <c r="D94" s="406"/>
      <c r="E94" s="1"/>
      <c r="F94" s="1"/>
      <c r="G94" s="1"/>
      <c r="H94" s="1"/>
      <c r="I94" s="1"/>
      <c r="J94" s="1"/>
      <c r="K94" s="1"/>
      <c r="L94" s="1"/>
      <c r="M94" s="1"/>
      <c r="N94" s="1"/>
    </row>
    <row r="95" spans="1:14" x14ac:dyDescent="0.2">
      <c r="B95" s="55" t="s">
        <v>2552</v>
      </c>
      <c r="C95" s="10" t="s">
        <v>995</v>
      </c>
      <c r="D95" s="10" t="s">
        <v>995</v>
      </c>
      <c r="E95" s="3" t="str">
        <f>IF(C102="x",M95,"")</f>
        <v/>
      </c>
      <c r="F95" s="1"/>
      <c r="G95" s="1"/>
      <c r="H95" s="1"/>
      <c r="I95" s="1"/>
      <c r="J95" s="5" t="str">
        <f>IF(C95="x","JUIST","")</f>
        <v/>
      </c>
      <c r="K95" s="5">
        <f>ABS(IF(J95="JUIST","1","0"))</f>
        <v>0</v>
      </c>
      <c r="L95" s="3">
        <v>1</v>
      </c>
      <c r="M95" s="1" t="s">
        <v>304</v>
      </c>
      <c r="N95" s="1"/>
    </row>
    <row r="96" spans="1:14" x14ac:dyDescent="0.2">
      <c r="A96" s="55" t="s">
        <v>1125</v>
      </c>
      <c r="B96" s="54" t="s">
        <v>1467</v>
      </c>
      <c r="C96" s="407"/>
      <c r="D96" s="406" t="s">
        <v>995</v>
      </c>
      <c r="E96" s="1"/>
      <c r="F96" s="1"/>
      <c r="G96" s="1"/>
      <c r="H96" s="1"/>
      <c r="I96" s="1"/>
      <c r="J96" s="1"/>
      <c r="K96" s="1"/>
      <c r="L96" s="1"/>
      <c r="M96" s="1"/>
      <c r="N96" s="1"/>
    </row>
    <row r="97" spans="1:14" x14ac:dyDescent="0.2">
      <c r="B97" s="55" t="s">
        <v>1468</v>
      </c>
      <c r="C97" s="10" t="s">
        <v>995</v>
      </c>
      <c r="D97" s="10" t="s">
        <v>995</v>
      </c>
      <c r="E97" s="3" t="str">
        <f>IF(C102="x",M97,"")</f>
        <v/>
      </c>
      <c r="F97" s="1"/>
      <c r="G97" s="1"/>
      <c r="H97" s="1"/>
      <c r="I97" s="1"/>
      <c r="J97" s="5" t="str">
        <f>IF(D97="x","JUIST","")</f>
        <v/>
      </c>
      <c r="K97" s="5">
        <f>ABS(IF(J97="JUIST","1","0"))</f>
        <v>0</v>
      </c>
      <c r="L97" s="3">
        <v>1</v>
      </c>
      <c r="M97" s="1" t="s">
        <v>306</v>
      </c>
      <c r="N97" s="1"/>
    </row>
    <row r="98" spans="1:14" x14ac:dyDescent="0.2">
      <c r="A98" s="55" t="s">
        <v>1130</v>
      </c>
      <c r="B98" s="54" t="s">
        <v>2553</v>
      </c>
      <c r="C98" s="407"/>
      <c r="D98" s="406"/>
      <c r="E98" s="1"/>
      <c r="F98" s="1"/>
      <c r="G98" s="1"/>
      <c r="H98" s="1"/>
      <c r="I98" s="1"/>
      <c r="J98" s="1"/>
      <c r="K98" s="1"/>
      <c r="L98" s="1"/>
      <c r="M98" s="1"/>
      <c r="N98" s="1"/>
    </row>
    <row r="99" spans="1:14" x14ac:dyDescent="0.2">
      <c r="B99" s="55" t="s">
        <v>1469</v>
      </c>
      <c r="C99" s="10" t="s">
        <v>995</v>
      </c>
      <c r="D99" s="10" t="s">
        <v>995</v>
      </c>
      <c r="E99" s="3" t="str">
        <f>IF(C102="x",M99,"")</f>
        <v/>
      </c>
      <c r="F99" s="1"/>
      <c r="G99" s="1"/>
      <c r="H99" s="1"/>
      <c r="I99" s="1"/>
      <c r="J99" s="5" t="str">
        <f>IF(C99="x","JUIST","")</f>
        <v/>
      </c>
      <c r="K99" s="5">
        <f>ABS(IF(J99="JUIST","1","0"))</f>
        <v>0</v>
      </c>
      <c r="L99" s="3">
        <v>1</v>
      </c>
      <c r="M99" s="1" t="s">
        <v>304</v>
      </c>
      <c r="N99" s="1"/>
    </row>
    <row r="100" spans="1:14" x14ac:dyDescent="0.2">
      <c r="A100" s="6" t="s">
        <v>1133</v>
      </c>
      <c r="B100" s="6" t="s">
        <v>1470</v>
      </c>
      <c r="C100" s="10" t="s">
        <v>995</v>
      </c>
      <c r="D100" s="10" t="s">
        <v>995</v>
      </c>
      <c r="E100" s="3" t="str">
        <f>IF(C102="x",M100,"")</f>
        <v/>
      </c>
      <c r="F100" s="1"/>
      <c r="G100" s="1"/>
      <c r="H100" s="1"/>
      <c r="I100" s="1"/>
      <c r="J100" s="5" t="str">
        <f>IF(D100="x","JUIST","")</f>
        <v/>
      </c>
      <c r="K100" s="5">
        <f>ABS(IF(J100="JUIST","1","0"))</f>
        <v>0</v>
      </c>
      <c r="L100" s="3">
        <v>1</v>
      </c>
      <c r="M100" s="1" t="s">
        <v>306</v>
      </c>
      <c r="N100" s="1"/>
    </row>
    <row r="101" spans="1:14" x14ac:dyDescent="0.2">
      <c r="A101" s="1"/>
      <c r="B101" s="1" t="s">
        <v>995</v>
      </c>
      <c r="C101" s="1"/>
      <c r="D101" s="1"/>
      <c r="E101" s="1"/>
      <c r="F101" s="1"/>
      <c r="G101" s="1"/>
      <c r="H101" s="1"/>
      <c r="I101" s="1"/>
      <c r="J101" s="1"/>
      <c r="K101" s="1"/>
      <c r="L101" s="1"/>
      <c r="M101" s="1"/>
      <c r="N101" s="1"/>
    </row>
    <row r="102" spans="1:14" x14ac:dyDescent="0.2">
      <c r="A102" s="1"/>
      <c r="B102" s="82" t="s">
        <v>1033</v>
      </c>
      <c r="C102" s="318" t="s">
        <v>995</v>
      </c>
      <c r="D102" s="1"/>
      <c r="E102" s="1"/>
      <c r="F102" s="1"/>
      <c r="G102" s="1"/>
      <c r="H102" s="1"/>
      <c r="I102" s="1"/>
      <c r="J102" s="1"/>
      <c r="K102" s="1"/>
      <c r="L102" s="1"/>
      <c r="M102" s="1"/>
      <c r="N102" s="1"/>
    </row>
    <row r="103" spans="1:14" x14ac:dyDescent="0.2">
      <c r="A103" s="1"/>
      <c r="B103" s="1"/>
      <c r="C103" s="1"/>
      <c r="D103" s="1"/>
      <c r="E103" s="1"/>
      <c r="F103" s="1"/>
      <c r="G103" s="1"/>
      <c r="H103" s="1"/>
      <c r="I103" s="1"/>
      <c r="J103" s="1"/>
      <c r="K103" s="1"/>
      <c r="L103" s="1"/>
      <c r="M103" s="1"/>
      <c r="N103" s="1"/>
    </row>
    <row r="104" spans="1:14" x14ac:dyDescent="0.2">
      <c r="A104" s="14"/>
      <c r="B104" s="14"/>
      <c r="C104" s="14"/>
      <c r="D104" s="14"/>
      <c r="E104" s="14"/>
      <c r="F104" s="14"/>
      <c r="G104" s="14"/>
      <c r="H104" s="14"/>
      <c r="I104" s="14"/>
      <c r="J104" s="1"/>
      <c r="K104" s="1"/>
      <c r="L104" s="1"/>
      <c r="M104" s="1"/>
      <c r="N104" s="1"/>
    </row>
    <row r="105" spans="1:14" x14ac:dyDescent="0.2">
      <c r="A105" s="1"/>
      <c r="B105" s="1"/>
      <c r="C105" s="1"/>
      <c r="D105" s="1"/>
      <c r="E105" s="1"/>
      <c r="F105" s="1"/>
      <c r="G105" s="1"/>
      <c r="H105" s="1"/>
      <c r="I105" s="1"/>
      <c r="J105" s="1"/>
      <c r="K105" s="1"/>
      <c r="L105" s="1"/>
      <c r="M105" s="1"/>
      <c r="N105" s="1"/>
    </row>
    <row r="106" spans="1:14" x14ac:dyDescent="0.2">
      <c r="A106" s="1" t="s">
        <v>1034</v>
      </c>
      <c r="B106" s="1" t="s">
        <v>1471</v>
      </c>
      <c r="C106" s="1"/>
      <c r="D106" s="1"/>
      <c r="E106" s="1"/>
      <c r="F106" s="1"/>
      <c r="G106" s="1"/>
      <c r="H106" s="1"/>
      <c r="I106" s="1"/>
      <c r="J106" s="1"/>
      <c r="K106" s="1"/>
      <c r="L106" s="1"/>
      <c r="M106" s="1"/>
      <c r="N106" s="1"/>
    </row>
    <row r="107" spans="1:14" x14ac:dyDescent="0.2">
      <c r="A107" s="1"/>
      <c r="B107" s="1" t="s">
        <v>1496</v>
      </c>
      <c r="C107" s="1"/>
      <c r="D107" s="1"/>
      <c r="E107" s="1"/>
      <c r="F107" s="1"/>
      <c r="G107" s="1"/>
      <c r="H107" s="1"/>
      <c r="I107" s="1"/>
      <c r="J107" s="1"/>
      <c r="K107" s="1"/>
      <c r="L107" s="1"/>
      <c r="M107" s="1"/>
      <c r="N107" s="1"/>
    </row>
    <row r="108" spans="1:14" ht="13.5" thickBot="1" x14ac:dyDescent="0.25">
      <c r="A108" s="1"/>
      <c r="B108" s="1" t="s">
        <v>995</v>
      </c>
      <c r="C108" s="92" t="s">
        <v>304</v>
      </c>
      <c r="D108" s="92" t="s">
        <v>306</v>
      </c>
      <c r="E108" s="395" t="str">
        <f>IF(C131="x",M108,"")</f>
        <v/>
      </c>
      <c r="F108" s="1"/>
      <c r="G108" s="1"/>
      <c r="H108" s="1"/>
      <c r="I108" s="1"/>
      <c r="J108" s="1"/>
      <c r="K108" s="1"/>
      <c r="L108" s="1"/>
      <c r="M108" s="1" t="s">
        <v>878</v>
      </c>
      <c r="N108" s="1"/>
    </row>
    <row r="109" spans="1:14" ht="13.5" thickTop="1" x14ac:dyDescent="0.2">
      <c r="A109" s="6" t="s">
        <v>999</v>
      </c>
      <c r="B109" s="6" t="s">
        <v>1472</v>
      </c>
      <c r="C109" s="10" t="s">
        <v>995</v>
      </c>
      <c r="D109" s="10" t="s">
        <v>1497</v>
      </c>
      <c r="E109" s="3" t="str">
        <f>IF(C131="x",M109,"")</f>
        <v/>
      </c>
      <c r="F109" s="1"/>
      <c r="G109" s="1"/>
      <c r="H109" s="1"/>
      <c r="I109" s="1"/>
      <c r="J109" s="5" t="str">
        <f>IF(D109="x","JUIST","")</f>
        <v/>
      </c>
      <c r="K109" s="5">
        <f>ABS(IF(J109="JUIST","0,5","0"))</f>
        <v>0</v>
      </c>
      <c r="L109" s="3">
        <v>0.5</v>
      </c>
      <c r="M109" s="1" t="s">
        <v>1488</v>
      </c>
      <c r="N109" s="1"/>
    </row>
    <row r="110" spans="1:14" x14ac:dyDescent="0.2">
      <c r="A110" s="6" t="s">
        <v>1000</v>
      </c>
      <c r="B110" s="6" t="s">
        <v>2555</v>
      </c>
      <c r="C110" s="10"/>
      <c r="D110" s="10" t="s">
        <v>995</v>
      </c>
      <c r="E110" s="3" t="str">
        <f>IF(C131="x",M110,"")</f>
        <v/>
      </c>
      <c r="F110" s="1"/>
      <c r="G110" s="1"/>
      <c r="H110" s="1"/>
      <c r="I110" s="1"/>
      <c r="J110" s="5" t="str">
        <f>IF(C110="x","JUIST","")</f>
        <v/>
      </c>
      <c r="K110" s="5">
        <f t="shared" ref="K110:K129" si="1">ABS(IF(J110="JUIST","0,5","0"))</f>
        <v>0</v>
      </c>
      <c r="L110" s="3">
        <v>0.5</v>
      </c>
      <c r="M110" s="1" t="s">
        <v>304</v>
      </c>
      <c r="N110" s="1"/>
    </row>
    <row r="111" spans="1:14" x14ac:dyDescent="0.2">
      <c r="A111" s="6" t="s">
        <v>1001</v>
      </c>
      <c r="B111" s="6" t="s">
        <v>1473</v>
      </c>
      <c r="C111" s="10"/>
      <c r="D111" s="10" t="s">
        <v>995</v>
      </c>
      <c r="E111" s="3" t="str">
        <f>IF(C131="x",M111,"")</f>
        <v/>
      </c>
      <c r="F111" s="1"/>
      <c r="G111" s="1"/>
      <c r="H111" s="1"/>
      <c r="I111" s="1"/>
      <c r="J111" s="5" t="str">
        <f>IF(D111="x","JUIST","")</f>
        <v/>
      </c>
      <c r="K111" s="5">
        <f t="shared" si="1"/>
        <v>0</v>
      </c>
      <c r="L111" s="3">
        <v>0.5</v>
      </c>
      <c r="M111" s="1" t="s">
        <v>1488</v>
      </c>
      <c r="N111" s="1"/>
    </row>
    <row r="112" spans="1:14" x14ac:dyDescent="0.2">
      <c r="A112" s="6" t="s">
        <v>1002</v>
      </c>
      <c r="B112" s="6" t="s">
        <v>1474</v>
      </c>
      <c r="C112" s="10"/>
      <c r="D112" s="10" t="s">
        <v>995</v>
      </c>
      <c r="E112" s="3" t="str">
        <f>IF(C131="x",M112,"")</f>
        <v/>
      </c>
      <c r="F112" s="1"/>
      <c r="G112" s="1"/>
      <c r="H112" s="1"/>
      <c r="I112" s="1"/>
      <c r="J112" s="5" t="str">
        <f>IF(D112="x","JUIST","")</f>
        <v/>
      </c>
      <c r="K112" s="5">
        <f t="shared" si="1"/>
        <v>0</v>
      </c>
      <c r="L112" s="3">
        <v>0.5</v>
      </c>
      <c r="M112" s="1" t="s">
        <v>1488</v>
      </c>
      <c r="N112" s="1"/>
    </row>
    <row r="113" spans="1:14" x14ac:dyDescent="0.2">
      <c r="A113" s="6" t="s">
        <v>863</v>
      </c>
      <c r="B113" s="6" t="s">
        <v>1475</v>
      </c>
      <c r="C113" s="10"/>
      <c r="D113" s="10" t="s">
        <v>995</v>
      </c>
      <c r="E113" s="3" t="str">
        <f>IF(C131="x",M113,"")</f>
        <v/>
      </c>
      <c r="F113" s="1"/>
      <c r="G113" s="1"/>
      <c r="H113" s="1"/>
      <c r="I113" s="1"/>
      <c r="J113" s="5" t="str">
        <f>IF(D113="x","JUIST","")</f>
        <v/>
      </c>
      <c r="K113" s="5">
        <f t="shared" si="1"/>
        <v>0</v>
      </c>
      <c r="L113" s="3">
        <v>0.5</v>
      </c>
      <c r="M113" s="1" t="s">
        <v>1488</v>
      </c>
      <c r="N113" s="1"/>
    </row>
    <row r="114" spans="1:14" x14ac:dyDescent="0.2">
      <c r="A114" s="6" t="s">
        <v>1080</v>
      </c>
      <c r="B114" s="6" t="s">
        <v>1476</v>
      </c>
      <c r="C114" s="10"/>
      <c r="D114" s="10" t="s">
        <v>995</v>
      </c>
      <c r="E114" s="3" t="str">
        <f>IF(C131="x",M114,"")</f>
        <v/>
      </c>
      <c r="F114" s="1"/>
      <c r="G114" s="1"/>
      <c r="H114" s="1"/>
      <c r="I114" s="1"/>
      <c r="J114" s="5" t="str">
        <f>IF(C114="x","JUIST","")</f>
        <v/>
      </c>
      <c r="K114" s="5">
        <f t="shared" si="1"/>
        <v>0</v>
      </c>
      <c r="L114" s="3">
        <v>0.5</v>
      </c>
      <c r="M114" s="1" t="s">
        <v>304</v>
      </c>
      <c r="N114" s="1"/>
    </row>
    <row r="115" spans="1:14" x14ac:dyDescent="0.2">
      <c r="A115" s="6" t="s">
        <v>1082</v>
      </c>
      <c r="B115" s="6" t="s">
        <v>1477</v>
      </c>
      <c r="C115" s="10"/>
      <c r="D115" s="10" t="s">
        <v>995</v>
      </c>
      <c r="E115" s="3" t="str">
        <f>IF(C131="x",M115,"")</f>
        <v/>
      </c>
      <c r="F115" s="1"/>
      <c r="G115" s="1"/>
      <c r="H115" s="1"/>
      <c r="I115" s="1"/>
      <c r="J115" s="5" t="str">
        <f>IF(D115="x","JUIST","")</f>
        <v/>
      </c>
      <c r="K115" s="5">
        <f t="shared" si="1"/>
        <v>0</v>
      </c>
      <c r="L115" s="3">
        <v>0.5</v>
      </c>
      <c r="M115" s="1" t="s">
        <v>1488</v>
      </c>
      <c r="N115" s="1"/>
    </row>
    <row r="116" spans="1:14" x14ac:dyDescent="0.2">
      <c r="A116" s="6" t="s">
        <v>322</v>
      </c>
      <c r="B116" s="6" t="s">
        <v>1478</v>
      </c>
      <c r="C116" s="10"/>
      <c r="D116" s="10" t="s">
        <v>995</v>
      </c>
      <c r="E116" s="3" t="str">
        <f>IF(C131="x",M116,"")</f>
        <v/>
      </c>
      <c r="F116" s="1"/>
      <c r="G116" s="1"/>
      <c r="H116" s="1"/>
      <c r="I116" s="1"/>
      <c r="J116" s="5" t="str">
        <f>IF(D116="x","JUIST","")</f>
        <v/>
      </c>
      <c r="K116" s="5">
        <f t="shared" si="1"/>
        <v>0</v>
      </c>
      <c r="L116" s="3">
        <v>0.5</v>
      </c>
      <c r="M116" s="1" t="s">
        <v>1488</v>
      </c>
      <c r="N116" s="1"/>
    </row>
    <row r="117" spans="1:14" x14ac:dyDescent="0.2">
      <c r="A117" s="6" t="s">
        <v>323</v>
      </c>
      <c r="B117" s="6" t="s">
        <v>1479</v>
      </c>
      <c r="C117" s="10"/>
      <c r="D117" s="10"/>
      <c r="E117" s="3" t="str">
        <f>IF(C131="x",M117,"")</f>
        <v/>
      </c>
      <c r="F117" s="1"/>
      <c r="G117" s="1"/>
      <c r="H117" s="1"/>
      <c r="I117" s="1"/>
      <c r="J117" s="5" t="str">
        <f>IF(C117="x","JUIST","")</f>
        <v/>
      </c>
      <c r="K117" s="5">
        <f t="shared" si="1"/>
        <v>0</v>
      </c>
      <c r="L117" s="3">
        <v>0.5</v>
      </c>
      <c r="M117" s="1" t="s">
        <v>304</v>
      </c>
      <c r="N117" s="1"/>
    </row>
    <row r="118" spans="1:14" x14ac:dyDescent="0.2">
      <c r="A118" s="6" t="s">
        <v>1125</v>
      </c>
      <c r="B118" s="504" t="s">
        <v>1480</v>
      </c>
      <c r="C118" s="10"/>
      <c r="D118" s="10"/>
      <c r="E118" s="3" t="str">
        <f>IF(C131="x",M118,"")</f>
        <v/>
      </c>
      <c r="F118" s="1"/>
      <c r="G118" s="1"/>
      <c r="H118" s="1"/>
      <c r="I118" s="1"/>
      <c r="J118" s="5" t="str">
        <f>IF(C118="x","JUIST","")</f>
        <v/>
      </c>
      <c r="K118" s="5">
        <f t="shared" si="1"/>
        <v>0</v>
      </c>
      <c r="L118" s="3">
        <v>0.5</v>
      </c>
      <c r="M118" s="1" t="s">
        <v>304</v>
      </c>
      <c r="N118" s="1"/>
    </row>
    <row r="119" spans="1:14" x14ac:dyDescent="0.2">
      <c r="A119" s="6" t="s">
        <v>1130</v>
      </c>
      <c r="B119" s="6" t="s">
        <v>1481</v>
      </c>
      <c r="C119" s="10"/>
      <c r="D119" s="10"/>
      <c r="E119" s="3" t="str">
        <f>IF(C131="x",M119,"")</f>
        <v/>
      </c>
      <c r="F119" s="1"/>
      <c r="G119" s="1"/>
      <c r="H119" s="1"/>
      <c r="I119" s="1"/>
      <c r="J119" s="5" t="str">
        <f>IF(D119="x","JUIST","")</f>
        <v/>
      </c>
      <c r="K119" s="5">
        <f t="shared" si="1"/>
        <v>0</v>
      </c>
      <c r="L119" s="3">
        <v>0.5</v>
      </c>
      <c r="M119" s="1" t="s">
        <v>1488</v>
      </c>
      <c r="N119" s="1"/>
    </row>
    <row r="120" spans="1:14" x14ac:dyDescent="0.2">
      <c r="A120" s="6" t="s">
        <v>1133</v>
      </c>
      <c r="B120" s="6" t="s">
        <v>1482</v>
      </c>
      <c r="C120" s="10"/>
      <c r="D120" s="10"/>
      <c r="E120" s="3" t="str">
        <f>IF(C131="x",M120,"")</f>
        <v/>
      </c>
      <c r="F120" s="1"/>
      <c r="G120" s="1"/>
      <c r="H120" s="1"/>
      <c r="I120" s="1"/>
      <c r="J120" s="5" t="str">
        <f>IF(D120="x","JUIST","")</f>
        <v/>
      </c>
      <c r="K120" s="5">
        <f t="shared" si="1"/>
        <v>0</v>
      </c>
      <c r="L120" s="3">
        <v>0.5</v>
      </c>
      <c r="M120" s="1" t="s">
        <v>1488</v>
      </c>
      <c r="N120" s="1"/>
    </row>
    <row r="121" spans="1:14" x14ac:dyDescent="0.2">
      <c r="A121" s="6" t="s">
        <v>1137</v>
      </c>
      <c r="B121" s="6" t="s">
        <v>1483</v>
      </c>
      <c r="C121" s="10"/>
      <c r="D121" s="10"/>
      <c r="E121" s="3" t="str">
        <f>IF(C131="x",M121,"")</f>
        <v/>
      </c>
      <c r="F121" s="1"/>
      <c r="G121" s="1"/>
      <c r="H121" s="1"/>
      <c r="I121" s="1"/>
      <c r="J121" s="5" t="str">
        <f>IF(C121="x","JUIST","")</f>
        <v/>
      </c>
      <c r="K121" s="5">
        <f t="shared" si="1"/>
        <v>0</v>
      </c>
      <c r="L121" s="3">
        <v>0.5</v>
      </c>
      <c r="M121" s="1" t="s">
        <v>304</v>
      </c>
      <c r="N121" s="1"/>
    </row>
    <row r="122" spans="1:14" x14ac:dyDescent="0.2">
      <c r="A122" s="6" t="s">
        <v>1139</v>
      </c>
      <c r="B122" s="6" t="s">
        <v>1491</v>
      </c>
      <c r="C122" s="10"/>
      <c r="D122" s="10"/>
      <c r="E122" s="3" t="str">
        <f>IF(C131="x",M122,"")</f>
        <v/>
      </c>
      <c r="F122" s="1"/>
      <c r="G122" s="1"/>
      <c r="H122" s="1"/>
      <c r="I122" s="1"/>
      <c r="J122" s="5" t="str">
        <f>IF(D122="x","JUIST","")</f>
        <v/>
      </c>
      <c r="K122" s="5">
        <f t="shared" si="1"/>
        <v>0</v>
      </c>
      <c r="L122" s="3">
        <v>0.5</v>
      </c>
      <c r="M122" s="1" t="s">
        <v>1490</v>
      </c>
      <c r="N122" s="1"/>
    </row>
    <row r="123" spans="1:14" x14ac:dyDescent="0.2">
      <c r="A123" s="6" t="s">
        <v>1142</v>
      </c>
      <c r="B123" s="6" t="s">
        <v>2556</v>
      </c>
      <c r="C123" s="10"/>
      <c r="D123" s="10"/>
      <c r="E123" s="3" t="str">
        <f>IF(C131="x",M123,"")</f>
        <v/>
      </c>
      <c r="F123" s="1"/>
      <c r="G123" s="1"/>
      <c r="H123" s="1"/>
      <c r="I123" s="1"/>
      <c r="J123" s="5" t="str">
        <f>IF(D123="x","JUIST","")</f>
        <v/>
      </c>
      <c r="K123" s="5">
        <f t="shared" si="1"/>
        <v>0</v>
      </c>
      <c r="L123" s="3">
        <v>0.5</v>
      </c>
      <c r="M123" s="1" t="s">
        <v>1490</v>
      </c>
      <c r="N123" s="1"/>
    </row>
    <row r="124" spans="1:14" x14ac:dyDescent="0.2">
      <c r="A124" s="6" t="s">
        <v>1146</v>
      </c>
      <c r="B124" s="6" t="s">
        <v>1484</v>
      </c>
      <c r="C124" s="10"/>
      <c r="D124" s="10"/>
      <c r="E124" s="3" t="str">
        <f>IF(C131="x",M124,"")</f>
        <v/>
      </c>
      <c r="F124" s="1"/>
      <c r="G124" s="1"/>
      <c r="H124" s="1"/>
      <c r="I124" s="1"/>
      <c r="J124" s="5" t="str">
        <f>IF(C124="x","JUIST","")</f>
        <v/>
      </c>
      <c r="K124" s="5">
        <f t="shared" si="1"/>
        <v>0</v>
      </c>
      <c r="L124" s="3">
        <v>0.5</v>
      </c>
      <c r="M124" s="1" t="s">
        <v>304</v>
      </c>
      <c r="N124" s="1"/>
    </row>
    <row r="125" spans="1:14" x14ac:dyDescent="0.2">
      <c r="A125" s="6" t="s">
        <v>1158</v>
      </c>
      <c r="B125" s="6" t="s">
        <v>2557</v>
      </c>
      <c r="C125" s="10"/>
      <c r="D125" s="10"/>
      <c r="E125" s="3" t="str">
        <f>IF(C131="x",M125,"")</f>
        <v/>
      </c>
      <c r="F125" s="1"/>
      <c r="G125" s="1"/>
      <c r="H125" s="1"/>
      <c r="I125" s="1"/>
      <c r="J125" s="5" t="str">
        <f>IF(C125="x","JUIST","")</f>
        <v/>
      </c>
      <c r="K125" s="5">
        <f t="shared" si="1"/>
        <v>0</v>
      </c>
      <c r="L125" s="3">
        <v>0.5</v>
      </c>
      <c r="M125" s="1" t="s">
        <v>304</v>
      </c>
      <c r="N125" s="1"/>
    </row>
    <row r="126" spans="1:14" x14ac:dyDescent="0.2">
      <c r="A126" s="6" t="s">
        <v>1492</v>
      </c>
      <c r="B126" s="6" t="s">
        <v>1485</v>
      </c>
      <c r="C126" s="10"/>
      <c r="D126" s="10"/>
      <c r="E126" s="3" t="str">
        <f>IF(C131="x",M126,"")</f>
        <v/>
      </c>
      <c r="F126" s="1"/>
      <c r="G126" s="1"/>
      <c r="H126" s="1"/>
      <c r="I126" s="1"/>
      <c r="J126" s="5" t="str">
        <f>IF(D126="x","JUIST","")</f>
        <v/>
      </c>
      <c r="K126" s="5">
        <f t="shared" si="1"/>
        <v>0</v>
      </c>
      <c r="L126" s="3">
        <v>0.5</v>
      </c>
      <c r="M126" s="1" t="s">
        <v>1488</v>
      </c>
      <c r="N126" s="1"/>
    </row>
    <row r="127" spans="1:14" x14ac:dyDescent="0.2">
      <c r="A127" s="6" t="s">
        <v>1493</v>
      </c>
      <c r="B127" s="6" t="s">
        <v>1486</v>
      </c>
      <c r="C127" s="10"/>
      <c r="D127" s="10"/>
      <c r="E127" s="3" t="str">
        <f>IF(C131="x",M127,"")</f>
        <v/>
      </c>
      <c r="F127" s="1"/>
      <c r="G127" s="1"/>
      <c r="H127" s="1"/>
      <c r="I127" s="1"/>
      <c r="J127" s="5" t="str">
        <f>IF(D127="x","JUIST","")</f>
        <v/>
      </c>
      <c r="K127" s="5">
        <f t="shared" si="1"/>
        <v>0</v>
      </c>
      <c r="L127" s="3">
        <v>0.5</v>
      </c>
      <c r="M127" s="1" t="s">
        <v>1488</v>
      </c>
      <c r="N127" s="1"/>
    </row>
    <row r="128" spans="1:14" x14ac:dyDescent="0.2">
      <c r="A128" s="6" t="s">
        <v>1494</v>
      </c>
      <c r="B128" s="6" t="s">
        <v>1487</v>
      </c>
      <c r="C128" s="10"/>
      <c r="D128" s="10"/>
      <c r="E128" s="3" t="str">
        <f>IF(C131="x",M128,"")</f>
        <v/>
      </c>
      <c r="F128" s="1"/>
      <c r="G128" s="1"/>
      <c r="H128" s="1"/>
      <c r="I128" s="1"/>
      <c r="J128" s="5" t="str">
        <f>IF(D128="x","JUIST","")</f>
        <v/>
      </c>
      <c r="K128" s="5">
        <f t="shared" si="1"/>
        <v>0</v>
      </c>
      <c r="L128" s="3">
        <v>0.5</v>
      </c>
      <c r="M128" s="1" t="s">
        <v>1488</v>
      </c>
      <c r="N128" s="1"/>
    </row>
    <row r="129" spans="1:14" x14ac:dyDescent="0.2">
      <c r="A129" s="6" t="s">
        <v>1495</v>
      </c>
      <c r="B129" s="6" t="s">
        <v>1489</v>
      </c>
      <c r="C129" s="10"/>
      <c r="D129" s="10"/>
      <c r="E129" s="3" t="str">
        <f>IF(C131="x",M129,"")</f>
        <v/>
      </c>
      <c r="F129" s="1"/>
      <c r="G129" s="1"/>
      <c r="H129" s="1"/>
      <c r="I129" s="1"/>
      <c r="J129" s="5" t="str">
        <f>IF(D129="x","JUIST","")</f>
        <v/>
      </c>
      <c r="K129" s="5">
        <f t="shared" si="1"/>
        <v>0</v>
      </c>
      <c r="L129" s="3">
        <v>0.5</v>
      </c>
      <c r="M129" s="1" t="s">
        <v>1490</v>
      </c>
      <c r="N129" s="1"/>
    </row>
    <row r="130" spans="1:14" x14ac:dyDescent="0.2">
      <c r="A130" s="1"/>
      <c r="B130" s="1"/>
      <c r="C130" s="1"/>
      <c r="D130" s="1"/>
      <c r="E130" s="1"/>
      <c r="F130" s="1"/>
      <c r="G130" s="1"/>
      <c r="H130" s="1"/>
      <c r="I130" s="1"/>
      <c r="J130" s="1"/>
      <c r="K130" s="1"/>
      <c r="L130" s="1"/>
      <c r="M130" s="1"/>
      <c r="N130" s="1"/>
    </row>
    <row r="131" spans="1:14" x14ac:dyDescent="0.2">
      <c r="A131" s="1"/>
      <c r="B131" s="82" t="s">
        <v>1033</v>
      </c>
      <c r="C131" s="318" t="s">
        <v>995</v>
      </c>
      <c r="D131" s="1"/>
      <c r="E131" s="1"/>
      <c r="F131" s="1"/>
      <c r="G131" s="1"/>
      <c r="H131" s="1"/>
      <c r="I131" s="1"/>
      <c r="J131" s="1"/>
      <c r="K131" s="1"/>
      <c r="L131" s="1"/>
      <c r="M131" s="1"/>
      <c r="N131" s="1"/>
    </row>
    <row r="132" spans="1:14" x14ac:dyDescent="0.2">
      <c r="A132" s="1"/>
      <c r="B132" s="1"/>
      <c r="C132" s="1"/>
      <c r="D132" s="1"/>
      <c r="E132" s="1"/>
      <c r="F132" s="1"/>
      <c r="G132" s="1"/>
      <c r="H132" s="1"/>
      <c r="I132" s="1"/>
      <c r="J132" s="1"/>
      <c r="K132" s="1"/>
      <c r="L132" s="1"/>
      <c r="M132" s="1"/>
      <c r="N132" s="1"/>
    </row>
    <row r="133" spans="1:14" x14ac:dyDescent="0.2">
      <c r="A133" s="14"/>
      <c r="B133" s="14"/>
      <c r="C133" s="14"/>
      <c r="D133" s="14"/>
      <c r="E133" s="14"/>
      <c r="F133" s="14"/>
      <c r="G133" s="14"/>
      <c r="H133" s="14"/>
      <c r="I133" s="14"/>
      <c r="J133" s="1"/>
      <c r="K133" s="1"/>
      <c r="L133" s="1"/>
      <c r="M133" s="1"/>
      <c r="N133" s="1"/>
    </row>
    <row r="134" spans="1:14" x14ac:dyDescent="0.2">
      <c r="A134" s="1"/>
      <c r="B134" s="1"/>
      <c r="C134" s="1"/>
      <c r="D134" s="1"/>
      <c r="E134" s="1"/>
      <c r="F134" s="1"/>
      <c r="G134" s="1"/>
      <c r="H134" s="1"/>
      <c r="I134" s="1"/>
      <c r="J134" s="1"/>
      <c r="K134" s="1"/>
      <c r="L134" s="1"/>
      <c r="M134" s="1"/>
      <c r="N134" s="1"/>
    </row>
    <row r="135" spans="1:14" ht="27.75" customHeight="1" thickBot="1" x14ac:dyDescent="0.25">
      <c r="A135" s="25" t="s">
        <v>1038</v>
      </c>
      <c r="B135" s="540" t="s">
        <v>2733</v>
      </c>
      <c r="C135" s="1"/>
      <c r="D135" s="102" t="s">
        <v>446</v>
      </c>
      <c r="E135" s="102" t="s">
        <v>1623</v>
      </c>
      <c r="F135" s="526" t="s">
        <v>2119</v>
      </c>
      <c r="G135" s="527" t="s">
        <v>2120</v>
      </c>
      <c r="H135" s="1"/>
      <c r="I135" s="1"/>
      <c r="J135" s="5" t="str">
        <f>IF(D136="x","FOUT","")</f>
        <v/>
      </c>
      <c r="K135" s="5">
        <f>ABS(IF(J135="JUIST","1","0"))</f>
        <v>0</v>
      </c>
      <c r="L135" s="3" t="s">
        <v>995</v>
      </c>
      <c r="M135" s="1"/>
      <c r="N135" s="1"/>
    </row>
    <row r="136" spans="1:14" ht="13.5" thickTop="1" x14ac:dyDescent="0.2">
      <c r="A136" s="1"/>
      <c r="B136" s="67" t="s">
        <v>2734</v>
      </c>
      <c r="C136" s="1"/>
      <c r="D136" s="425" t="s">
        <v>995</v>
      </c>
      <c r="E136" s="425" t="s">
        <v>995</v>
      </c>
      <c r="F136" s="425" t="s">
        <v>995</v>
      </c>
      <c r="G136" s="425" t="s">
        <v>995</v>
      </c>
      <c r="H136" s="1"/>
      <c r="I136" s="1"/>
      <c r="J136" s="5" t="str">
        <f>IF(E136="x","JUIST","")</f>
        <v/>
      </c>
      <c r="K136" s="5">
        <f>ABS(IF(J136="JUIST","1","0"))</f>
        <v>0</v>
      </c>
      <c r="L136" s="3">
        <v>1</v>
      </c>
      <c r="M136" s="1" t="s">
        <v>476</v>
      </c>
      <c r="N136" s="1"/>
    </row>
    <row r="137" spans="1:14" x14ac:dyDescent="0.2">
      <c r="A137" s="1"/>
      <c r="B137" s="539" t="s">
        <v>2558</v>
      </c>
      <c r="C137" s="1"/>
      <c r="D137" s="3" t="s">
        <v>475</v>
      </c>
      <c r="E137" s="3" t="s">
        <v>476</v>
      </c>
      <c r="F137" s="3" t="s">
        <v>477</v>
      </c>
      <c r="G137" s="3" t="s">
        <v>478</v>
      </c>
      <c r="H137" s="1"/>
      <c r="I137" s="1"/>
      <c r="J137" s="5" t="str">
        <f>IF(F136="x","FOUT","")</f>
        <v/>
      </c>
      <c r="K137" s="5">
        <f>ABS(IF(J137="JUIST","1","0"))</f>
        <v>0</v>
      </c>
      <c r="L137" s="3" t="s">
        <v>995</v>
      </c>
      <c r="M137" s="1"/>
      <c r="N137" s="1"/>
    </row>
    <row r="138" spans="1:14" x14ac:dyDescent="0.2">
      <c r="A138" s="1"/>
      <c r="B138" s="1" t="s">
        <v>2559</v>
      </c>
      <c r="D138" s="1"/>
      <c r="E138" s="1"/>
      <c r="F138" s="1"/>
      <c r="G138" s="1"/>
      <c r="H138" s="1"/>
      <c r="I138" s="1"/>
      <c r="J138" s="5" t="str">
        <f>IF(G136="x","FOUT","")</f>
        <v/>
      </c>
      <c r="K138" s="5">
        <f>ABS(IF(J138="JUIST","1","0"))</f>
        <v>0</v>
      </c>
      <c r="L138" s="3" t="s">
        <v>995</v>
      </c>
      <c r="M138" s="1"/>
      <c r="N138" s="1"/>
    </row>
    <row r="139" spans="1:14" x14ac:dyDescent="0.2">
      <c r="A139" s="1"/>
      <c r="C139" s="1"/>
      <c r="D139" s="3"/>
      <c r="E139" s="3"/>
      <c r="F139" s="3"/>
      <c r="G139" s="1"/>
      <c r="H139" s="1"/>
      <c r="I139" s="1"/>
      <c r="J139" s="73" t="str">
        <f>IF(C140="x","Het juiste antwoord is:  B.","")</f>
        <v/>
      </c>
      <c r="K139" s="1"/>
      <c r="L139" s="3"/>
      <c r="M139" s="1"/>
      <c r="N139" s="1"/>
    </row>
    <row r="140" spans="1:14" x14ac:dyDescent="0.2">
      <c r="A140" s="1"/>
      <c r="B140" s="82" t="s">
        <v>1033</v>
      </c>
      <c r="C140" s="318" t="s">
        <v>995</v>
      </c>
      <c r="D140" s="1"/>
      <c r="E140" s="1"/>
      <c r="F140" s="1"/>
      <c r="G140" s="1"/>
      <c r="H140" s="1"/>
      <c r="I140" s="1"/>
      <c r="J140" s="1"/>
      <c r="K140" s="1"/>
      <c r="L140" s="3"/>
      <c r="M140" s="1"/>
      <c r="N140" s="1"/>
    </row>
    <row r="141" spans="1:14" x14ac:dyDescent="0.2">
      <c r="A141" s="1"/>
      <c r="B141" s="3" t="str">
        <f>IF(C140="x",J139,"")</f>
        <v/>
      </c>
      <c r="C141" s="1"/>
      <c r="D141" s="1"/>
      <c r="E141" s="1"/>
      <c r="F141" s="1"/>
      <c r="G141" s="1"/>
      <c r="H141" s="1"/>
      <c r="I141" s="1"/>
      <c r="J141" s="1"/>
      <c r="K141" s="1"/>
      <c r="L141" s="3"/>
      <c r="M141" s="1"/>
      <c r="N141" s="1"/>
    </row>
    <row r="142" spans="1:14" x14ac:dyDescent="0.2">
      <c r="A142" s="14"/>
      <c r="B142" s="14"/>
      <c r="C142" s="14"/>
      <c r="D142" s="14"/>
      <c r="E142" s="14"/>
      <c r="F142" s="14"/>
      <c r="G142" s="14"/>
      <c r="H142" s="14"/>
      <c r="I142" s="14"/>
      <c r="J142" s="1"/>
      <c r="K142" s="1"/>
      <c r="L142" s="1"/>
      <c r="M142" s="1"/>
      <c r="N142" s="1"/>
    </row>
    <row r="143" spans="1:14" x14ac:dyDescent="0.2">
      <c r="A143" s="1"/>
      <c r="B143" s="1"/>
      <c r="C143" s="1"/>
      <c r="D143" s="1"/>
      <c r="E143" s="1"/>
      <c r="F143" s="1"/>
      <c r="G143" s="1"/>
      <c r="H143" s="1"/>
      <c r="I143" s="1"/>
      <c r="J143" s="1"/>
      <c r="K143" s="1"/>
      <c r="L143" s="1"/>
      <c r="M143" s="1"/>
      <c r="N143" s="1"/>
    </row>
    <row r="144" spans="1:14" ht="26.25" thickBot="1" x14ac:dyDescent="0.25">
      <c r="A144" s="25" t="s">
        <v>860</v>
      </c>
      <c r="B144" s="103" t="s">
        <v>2560</v>
      </c>
      <c r="C144" s="1"/>
      <c r="D144" s="102" t="s">
        <v>446</v>
      </c>
      <c r="E144" s="102" t="s">
        <v>1623</v>
      </c>
      <c r="F144" s="526" t="s">
        <v>2119</v>
      </c>
      <c r="G144" s="527" t="s">
        <v>2120</v>
      </c>
      <c r="H144" s="1"/>
      <c r="I144" s="1"/>
      <c r="J144" s="5" t="str">
        <f>IF(D145="x","FOUT","")</f>
        <v/>
      </c>
      <c r="K144" s="5">
        <f>ABS(IF(J144="JUIST","1","0"))</f>
        <v>0</v>
      </c>
      <c r="L144" s="3" t="s">
        <v>995</v>
      </c>
      <c r="M144" s="1"/>
      <c r="N144" s="1"/>
    </row>
    <row r="145" spans="1:14" ht="13.5" thickTop="1" x14ac:dyDescent="0.2">
      <c r="A145" s="1"/>
      <c r="B145" s="61" t="s">
        <v>2561</v>
      </c>
      <c r="C145" s="1"/>
      <c r="D145" s="425" t="s">
        <v>995</v>
      </c>
      <c r="E145" s="425" t="s">
        <v>995</v>
      </c>
      <c r="F145" s="425" t="s">
        <v>995</v>
      </c>
      <c r="G145" s="425" t="s">
        <v>995</v>
      </c>
      <c r="H145" s="1"/>
      <c r="I145" s="1"/>
      <c r="J145" s="5" t="str">
        <f>IF(E145="x","FOUT","")</f>
        <v/>
      </c>
      <c r="K145" s="5">
        <f>ABS(IF(J145="JUIST","1","0"))</f>
        <v>0</v>
      </c>
      <c r="L145" s="3" t="s">
        <v>995</v>
      </c>
      <c r="M145" s="1"/>
      <c r="N145" s="1"/>
    </row>
    <row r="146" spans="1:14" x14ac:dyDescent="0.2">
      <c r="A146" s="1"/>
      <c r="B146" s="1" t="s">
        <v>2562</v>
      </c>
      <c r="D146" s="3" t="s">
        <v>475</v>
      </c>
      <c r="E146" s="3" t="s">
        <v>476</v>
      </c>
      <c r="F146" s="3" t="s">
        <v>477</v>
      </c>
      <c r="G146" s="3" t="s">
        <v>478</v>
      </c>
      <c r="H146" s="1"/>
      <c r="I146" s="1"/>
      <c r="J146" s="5" t="str">
        <f>IF(F145="x","JUIST","")</f>
        <v/>
      </c>
      <c r="K146" s="5">
        <f>ABS(IF(J146="JUIST","1","0"))</f>
        <v>0</v>
      </c>
      <c r="L146" s="3">
        <v>1</v>
      </c>
      <c r="M146" s="1" t="s">
        <v>477</v>
      </c>
      <c r="N146" s="1"/>
    </row>
    <row r="147" spans="1:14" x14ac:dyDescent="0.2">
      <c r="A147" s="1"/>
      <c r="C147" s="1"/>
      <c r="D147" s="1"/>
      <c r="E147" s="1"/>
      <c r="F147" s="1"/>
      <c r="G147" s="1"/>
      <c r="H147" s="1"/>
      <c r="I147" s="1"/>
      <c r="J147" s="5" t="str">
        <f>IF(G145="x","FOUT","")</f>
        <v/>
      </c>
      <c r="K147" s="5">
        <f>ABS(IF(J147="JUIST","1","0"))</f>
        <v>0</v>
      </c>
      <c r="L147" s="3" t="s">
        <v>995</v>
      </c>
      <c r="M147" s="1"/>
      <c r="N147" s="1"/>
    </row>
    <row r="148" spans="1:14" x14ac:dyDescent="0.2">
      <c r="A148" s="1"/>
      <c r="B148" s="82" t="s">
        <v>1033</v>
      </c>
      <c r="C148" s="318" t="s">
        <v>995</v>
      </c>
      <c r="D148" s="3"/>
      <c r="E148" s="3"/>
      <c r="F148" s="3"/>
      <c r="G148" s="1"/>
      <c r="H148" s="1"/>
      <c r="I148" s="1"/>
      <c r="J148" s="73" t="str">
        <f>IF(C148="x","Het juiste antwoord is:  C.","")</f>
        <v/>
      </c>
      <c r="K148" s="1"/>
      <c r="L148" s="3"/>
      <c r="M148" s="1"/>
      <c r="N148" s="1"/>
    </row>
    <row r="149" spans="1:14" x14ac:dyDescent="0.2">
      <c r="A149" s="1"/>
      <c r="B149" s="3" t="str">
        <f>IF(C148="x",J148,"")</f>
        <v/>
      </c>
      <c r="C149" s="1"/>
      <c r="D149" s="1"/>
      <c r="E149" s="1"/>
      <c r="F149" s="1"/>
      <c r="G149" s="1"/>
      <c r="H149" s="1"/>
      <c r="I149" s="1"/>
      <c r="J149" s="1"/>
      <c r="K149" s="1"/>
      <c r="L149" s="3"/>
      <c r="M149" s="1"/>
      <c r="N149" s="1"/>
    </row>
    <row r="150" spans="1:14" x14ac:dyDescent="0.2">
      <c r="A150" s="14"/>
      <c r="B150" s="14"/>
      <c r="C150" s="14"/>
      <c r="D150" s="14"/>
      <c r="E150" s="14"/>
      <c r="F150" s="14"/>
      <c r="G150" s="14"/>
      <c r="H150" s="14"/>
      <c r="I150" s="14"/>
      <c r="J150" s="1"/>
      <c r="K150" s="1"/>
      <c r="L150" s="3"/>
      <c r="M150" s="1"/>
      <c r="N150" s="1"/>
    </row>
    <row r="151" spans="1:14" x14ac:dyDescent="0.2">
      <c r="A151" s="1"/>
      <c r="B151" s="1"/>
      <c r="C151" s="1"/>
      <c r="D151" s="1"/>
      <c r="E151" s="1"/>
      <c r="F151" s="1"/>
      <c r="G151" s="1"/>
      <c r="H151" s="1"/>
      <c r="I151" s="1"/>
      <c r="J151" s="1"/>
      <c r="K151" s="1"/>
      <c r="L151" s="1"/>
      <c r="M151" s="1"/>
      <c r="N151" s="1"/>
    </row>
    <row r="152" spans="1:14" x14ac:dyDescent="0.2">
      <c r="A152" s="1" t="s">
        <v>861</v>
      </c>
      <c r="B152" s="1" t="s">
        <v>2563</v>
      </c>
      <c r="C152" s="1"/>
      <c r="D152" s="1"/>
      <c r="E152" s="1"/>
      <c r="F152" s="1"/>
      <c r="G152" s="1"/>
      <c r="H152" s="1"/>
      <c r="I152" s="1"/>
      <c r="J152" s="1"/>
      <c r="K152" s="1"/>
      <c r="L152" s="1"/>
      <c r="M152" s="1"/>
      <c r="N152" s="1"/>
    </row>
    <row r="153" spans="1:14" x14ac:dyDescent="0.2">
      <c r="A153" s="1"/>
      <c r="B153" s="1" t="s">
        <v>2564</v>
      </c>
      <c r="C153" s="1"/>
      <c r="D153" s="1"/>
      <c r="E153" s="1"/>
      <c r="F153" s="1"/>
      <c r="G153" s="1"/>
      <c r="H153" s="1"/>
      <c r="I153" s="1"/>
      <c r="J153" s="1"/>
      <c r="K153" s="1"/>
      <c r="L153" s="1"/>
      <c r="M153" s="1"/>
      <c r="N153" s="1"/>
    </row>
    <row r="154" spans="1:14" ht="13.5" thickBot="1" x14ac:dyDescent="0.25">
      <c r="A154" s="1"/>
      <c r="B154" s="1" t="s">
        <v>995</v>
      </c>
      <c r="C154" s="92" t="s">
        <v>304</v>
      </c>
      <c r="D154" s="92" t="s">
        <v>306</v>
      </c>
      <c r="E154" s="395" t="str">
        <f>IF(C192="x",M154,"")</f>
        <v/>
      </c>
      <c r="F154" s="1"/>
      <c r="G154" s="1"/>
      <c r="H154" s="1"/>
      <c r="I154" s="1"/>
      <c r="J154" s="1"/>
      <c r="K154" s="1"/>
      <c r="L154" s="1"/>
      <c r="M154" s="1" t="s">
        <v>878</v>
      </c>
      <c r="N154" s="1"/>
    </row>
    <row r="155" spans="1:14" ht="13.5" thickTop="1" x14ac:dyDescent="0.2">
      <c r="A155" s="483" t="s">
        <v>999</v>
      </c>
      <c r="B155" s="483" t="s">
        <v>2739</v>
      </c>
      <c r="C155" s="407"/>
      <c r="D155" s="406"/>
      <c r="E155" s="1"/>
      <c r="F155" s="1"/>
      <c r="G155" s="1"/>
      <c r="H155" s="1"/>
      <c r="I155" s="1"/>
      <c r="J155" s="79"/>
      <c r="K155" s="79"/>
      <c r="L155" s="3"/>
      <c r="M155" s="1"/>
      <c r="N155" s="1"/>
    </row>
    <row r="156" spans="1:14" x14ac:dyDescent="0.2">
      <c r="A156" s="55"/>
      <c r="B156" s="64" t="s">
        <v>2740</v>
      </c>
      <c r="C156" s="407"/>
      <c r="D156" s="406"/>
      <c r="E156" s="1"/>
      <c r="F156" s="1"/>
      <c r="G156" s="1"/>
      <c r="H156" s="1"/>
      <c r="I156" s="1"/>
      <c r="J156" s="79"/>
      <c r="K156" s="79"/>
      <c r="L156" s="3"/>
      <c r="M156" s="1"/>
      <c r="N156" s="1"/>
    </row>
    <row r="157" spans="1:14" x14ac:dyDescent="0.2">
      <c r="A157" s="64" t="s">
        <v>995</v>
      </c>
      <c r="B157" s="64" t="s">
        <v>2741</v>
      </c>
      <c r="C157" s="10" t="s">
        <v>995</v>
      </c>
      <c r="D157" s="10" t="s">
        <v>995</v>
      </c>
      <c r="E157" s="3" t="str">
        <f>IF(C192="x",M157,"")</f>
        <v/>
      </c>
      <c r="F157" s="1"/>
      <c r="G157" s="1"/>
      <c r="H157" s="1"/>
      <c r="I157" s="1"/>
      <c r="J157" s="5" t="str">
        <f>IF(C157="x","JUIST","")</f>
        <v/>
      </c>
      <c r="K157" s="5">
        <f>ABS(IF(J157="JUIST","0,5","0"))</f>
        <v>0</v>
      </c>
      <c r="L157" s="3">
        <v>0.5</v>
      </c>
      <c r="M157" s="1" t="s">
        <v>304</v>
      </c>
      <c r="N157" s="1"/>
    </row>
    <row r="158" spans="1:14" x14ac:dyDescent="0.2">
      <c r="A158" s="483" t="s">
        <v>1000</v>
      </c>
      <c r="B158" s="54" t="s">
        <v>159</v>
      </c>
      <c r="C158" s="407"/>
      <c r="D158" s="406"/>
      <c r="E158" s="1"/>
      <c r="F158" s="1"/>
      <c r="G158" s="1"/>
      <c r="H158" s="1"/>
      <c r="I158" s="1"/>
      <c r="J158" s="1"/>
      <c r="K158" s="1"/>
      <c r="L158" s="1"/>
      <c r="M158" s="1"/>
      <c r="N158" s="1"/>
    </row>
    <row r="159" spans="1:14" x14ac:dyDescent="0.2">
      <c r="A159" s="64" t="s">
        <v>995</v>
      </c>
      <c r="B159" s="55" t="s">
        <v>160</v>
      </c>
      <c r="C159" s="10"/>
      <c r="D159" s="10"/>
      <c r="E159" s="3" t="str">
        <f>IF(C192="x",M159,"")</f>
        <v/>
      </c>
      <c r="F159" s="1"/>
      <c r="G159" s="1"/>
      <c r="H159" s="1"/>
      <c r="I159" s="1"/>
      <c r="J159" s="5" t="str">
        <f>IF(D159="x","JUIST","")</f>
        <v/>
      </c>
      <c r="K159" s="5">
        <f>ABS(IF(J159="JUIST","0,5","0"))</f>
        <v>0</v>
      </c>
      <c r="L159" s="3">
        <v>0.5</v>
      </c>
      <c r="M159" s="1" t="s">
        <v>306</v>
      </c>
      <c r="N159" s="1"/>
    </row>
    <row r="160" spans="1:14" x14ac:dyDescent="0.2">
      <c r="A160" s="483" t="s">
        <v>1001</v>
      </c>
      <c r="B160" s="54" t="s">
        <v>2565</v>
      </c>
      <c r="C160" s="407"/>
      <c r="D160" s="406"/>
      <c r="E160" s="1"/>
      <c r="F160" s="1"/>
      <c r="G160" s="1"/>
      <c r="H160" s="1"/>
      <c r="I160" s="1"/>
      <c r="J160" s="1"/>
      <c r="K160" s="1"/>
      <c r="L160" s="1"/>
      <c r="M160" s="1"/>
      <c r="N160" s="1"/>
    </row>
    <row r="161" spans="1:14" x14ac:dyDescent="0.2">
      <c r="A161" s="64" t="s">
        <v>995</v>
      </c>
      <c r="B161" s="55" t="s">
        <v>2566</v>
      </c>
      <c r="C161" s="10"/>
      <c r="D161" s="10"/>
      <c r="E161" s="3" t="str">
        <f>IF(C192="x",M161,"")</f>
        <v/>
      </c>
      <c r="F161" s="1"/>
      <c r="G161" s="1"/>
      <c r="H161" s="1"/>
      <c r="I161" s="1"/>
      <c r="J161" s="5" t="str">
        <f>IF(D161="x","JUIST","")</f>
        <v/>
      </c>
      <c r="K161" s="5">
        <f>ABS(IF(J161="JUIST","0,5","0"))</f>
        <v>0</v>
      </c>
      <c r="L161" s="3">
        <v>0.5</v>
      </c>
      <c r="M161" s="1" t="s">
        <v>306</v>
      </c>
      <c r="N161" s="1"/>
    </row>
    <row r="162" spans="1:14" x14ac:dyDescent="0.2">
      <c r="A162" s="483" t="s">
        <v>1002</v>
      </c>
      <c r="B162" s="54" t="s">
        <v>161</v>
      </c>
      <c r="C162" s="407"/>
      <c r="D162" s="406"/>
      <c r="E162" s="1"/>
      <c r="F162" s="1"/>
      <c r="G162" s="1"/>
      <c r="H162" s="1"/>
      <c r="I162" s="1"/>
      <c r="J162" s="79"/>
      <c r="K162" s="79"/>
      <c r="L162" s="3"/>
      <c r="M162" s="1"/>
      <c r="N162" s="1"/>
    </row>
    <row r="163" spans="1:14" x14ac:dyDescent="0.2">
      <c r="A163" s="64" t="s">
        <v>995</v>
      </c>
      <c r="B163" s="55" t="s">
        <v>162</v>
      </c>
      <c r="C163" s="10" t="s">
        <v>995</v>
      </c>
      <c r="D163" s="10" t="s">
        <v>995</v>
      </c>
      <c r="E163" s="3" t="str">
        <f>IF(C192="x",M163,"")</f>
        <v/>
      </c>
      <c r="F163" s="1"/>
      <c r="G163" s="1"/>
      <c r="H163" s="1"/>
      <c r="I163" s="1"/>
      <c r="J163" s="5" t="str">
        <f>IF(C163="x","JUIST","")</f>
        <v/>
      </c>
      <c r="K163" s="5">
        <f>ABS(IF(J163="JUIST","0,5","0"))</f>
        <v>0</v>
      </c>
      <c r="L163" s="3">
        <v>0.5</v>
      </c>
      <c r="M163" s="1" t="s">
        <v>304</v>
      </c>
      <c r="N163" s="1"/>
    </row>
    <row r="164" spans="1:14" x14ac:dyDescent="0.2">
      <c r="A164" s="483" t="s">
        <v>863</v>
      </c>
      <c r="B164" s="54" t="s">
        <v>163</v>
      </c>
      <c r="C164" s="407"/>
      <c r="D164" s="406"/>
      <c r="E164" s="1"/>
      <c r="F164" s="1"/>
      <c r="G164" s="1"/>
      <c r="H164" s="1"/>
      <c r="I164" s="1"/>
      <c r="J164" s="79"/>
      <c r="K164" s="79"/>
      <c r="L164" s="3"/>
      <c r="M164" s="1"/>
      <c r="N164" s="1"/>
    </row>
    <row r="165" spans="1:14" x14ac:dyDescent="0.2">
      <c r="A165" s="64" t="s">
        <v>995</v>
      </c>
      <c r="B165" s="55" t="s">
        <v>164</v>
      </c>
      <c r="C165" s="10" t="s">
        <v>995</v>
      </c>
      <c r="D165" s="10" t="s">
        <v>995</v>
      </c>
      <c r="E165" s="3" t="str">
        <f>IF(C192="x",M165,"")</f>
        <v/>
      </c>
      <c r="F165" s="1"/>
      <c r="G165" s="1"/>
      <c r="H165" s="1"/>
      <c r="I165" s="1"/>
      <c r="J165" s="5" t="str">
        <f>IF(C165="x","JUIST","")</f>
        <v/>
      </c>
      <c r="K165" s="5">
        <f>ABS(IF(J165="JUIST","0,5","0"))</f>
        <v>0</v>
      </c>
      <c r="L165" s="3">
        <v>0.5</v>
      </c>
      <c r="M165" s="1" t="s">
        <v>304</v>
      </c>
      <c r="N165" s="1"/>
    </row>
    <row r="166" spans="1:14" x14ac:dyDescent="0.2">
      <c r="A166" s="483" t="s">
        <v>1080</v>
      </c>
      <c r="B166" s="54" t="s">
        <v>165</v>
      </c>
      <c r="C166" s="407"/>
      <c r="D166" s="406"/>
      <c r="E166" s="1"/>
      <c r="F166" s="1"/>
      <c r="G166" s="1"/>
      <c r="H166" s="1"/>
      <c r="I166" s="1"/>
      <c r="J166" s="79"/>
      <c r="K166" s="79"/>
      <c r="L166" s="3"/>
      <c r="M166" s="1"/>
      <c r="N166" s="1"/>
    </row>
    <row r="167" spans="1:14" x14ac:dyDescent="0.2">
      <c r="A167" s="55"/>
      <c r="B167" s="55" t="s">
        <v>166</v>
      </c>
      <c r="C167" s="407"/>
      <c r="D167" s="406"/>
      <c r="E167" s="1"/>
      <c r="F167" s="1"/>
      <c r="G167" s="1"/>
      <c r="H167" s="1"/>
      <c r="I167" s="1"/>
      <c r="J167" s="79"/>
      <c r="K167" s="79"/>
      <c r="L167" s="3"/>
      <c r="M167" s="1"/>
      <c r="N167" s="1"/>
    </row>
    <row r="168" spans="1:14" x14ac:dyDescent="0.2">
      <c r="A168" s="64" t="s">
        <v>995</v>
      </c>
      <c r="B168" s="55" t="s">
        <v>167</v>
      </c>
      <c r="C168" s="10"/>
      <c r="D168" s="10"/>
      <c r="E168" s="3" t="str">
        <f>IF(C192="x",M168,"")</f>
        <v/>
      </c>
      <c r="F168" s="1"/>
      <c r="G168" s="1"/>
      <c r="H168" s="1"/>
      <c r="I168" s="1"/>
      <c r="J168" s="5" t="str">
        <f>IF(D168="x","JUIST","")</f>
        <v/>
      </c>
      <c r="K168" s="5">
        <f>ABS(IF(J168="JUIST","0,5","0"))</f>
        <v>0</v>
      </c>
      <c r="L168" s="3">
        <v>0.5</v>
      </c>
      <c r="M168" s="1" t="s">
        <v>306</v>
      </c>
      <c r="N168" s="1"/>
    </row>
    <row r="169" spans="1:14" x14ac:dyDescent="0.2">
      <c r="A169" s="483" t="s">
        <v>1082</v>
      </c>
      <c r="B169" s="541" t="s">
        <v>2567</v>
      </c>
      <c r="C169" s="407"/>
      <c r="D169" s="406"/>
      <c r="E169" s="1"/>
      <c r="F169" s="1"/>
      <c r="G169" s="1"/>
      <c r="H169" s="1"/>
      <c r="I169" s="1"/>
      <c r="J169" s="1"/>
      <c r="K169" s="1"/>
      <c r="L169" s="1"/>
      <c r="M169" s="1"/>
      <c r="N169" s="1"/>
    </row>
    <row r="170" spans="1:14" x14ac:dyDescent="0.2">
      <c r="A170" s="55"/>
      <c r="B170" s="55" t="s">
        <v>2568</v>
      </c>
      <c r="C170" s="407"/>
      <c r="D170" s="406"/>
      <c r="E170" s="1"/>
      <c r="F170" s="1"/>
      <c r="G170" s="1"/>
      <c r="H170" s="1"/>
      <c r="I170" s="1"/>
      <c r="J170" s="1"/>
      <c r="K170" s="1"/>
      <c r="L170" s="1"/>
      <c r="M170" s="1"/>
      <c r="N170" s="1"/>
    </row>
    <row r="171" spans="1:14" x14ac:dyDescent="0.2">
      <c r="A171" s="64" t="s">
        <v>995</v>
      </c>
      <c r="B171" s="55" t="s">
        <v>168</v>
      </c>
      <c r="C171" s="10" t="s">
        <v>995</v>
      </c>
      <c r="D171" s="10" t="s">
        <v>995</v>
      </c>
      <c r="E171" s="3" t="str">
        <f>IF(C192="x",M171,"")</f>
        <v/>
      </c>
      <c r="F171" s="1"/>
      <c r="G171" s="1"/>
      <c r="H171" s="1"/>
      <c r="I171" s="1"/>
      <c r="J171" s="5" t="str">
        <f>IF(C171="x","JUIST","")</f>
        <v/>
      </c>
      <c r="K171" s="5">
        <f>ABS(IF(J171="JUIST","0,5","0"))</f>
        <v>0</v>
      </c>
      <c r="L171" s="3">
        <v>0.5</v>
      </c>
      <c r="M171" s="1" t="s">
        <v>304</v>
      </c>
      <c r="N171" s="1"/>
    </row>
    <row r="172" spans="1:14" x14ac:dyDescent="0.2">
      <c r="A172" s="483" t="s">
        <v>322</v>
      </c>
      <c r="B172" s="54" t="s">
        <v>169</v>
      </c>
      <c r="C172" s="407"/>
      <c r="D172" s="406"/>
      <c r="E172" s="1"/>
      <c r="F172" s="1"/>
      <c r="G172" s="1"/>
      <c r="H172" s="1"/>
      <c r="I172" s="1"/>
      <c r="J172" s="1"/>
      <c r="K172" s="1"/>
      <c r="L172" s="1"/>
      <c r="M172" s="1"/>
      <c r="N172" s="1"/>
    </row>
    <row r="173" spans="1:14" x14ac:dyDescent="0.2">
      <c r="A173" s="55"/>
      <c r="B173" s="55" t="s">
        <v>170</v>
      </c>
      <c r="C173" s="407"/>
      <c r="D173" s="406"/>
      <c r="E173" s="1"/>
      <c r="F173" s="1"/>
      <c r="G173" s="1"/>
      <c r="H173" s="1"/>
      <c r="I173" s="1"/>
      <c r="J173" s="1"/>
      <c r="K173" s="1"/>
      <c r="L173" s="1"/>
      <c r="M173" s="1"/>
      <c r="N173" s="1"/>
    </row>
    <row r="174" spans="1:14" x14ac:dyDescent="0.2">
      <c r="A174" s="64" t="s">
        <v>995</v>
      </c>
      <c r="B174" s="55" t="s">
        <v>2569</v>
      </c>
      <c r="C174" s="10" t="s">
        <v>995</v>
      </c>
      <c r="D174" s="10" t="s">
        <v>995</v>
      </c>
      <c r="E174" s="3" t="str">
        <f>IF(C192="x",M174,"")</f>
        <v/>
      </c>
      <c r="F174" s="1"/>
      <c r="G174" s="1"/>
      <c r="H174" s="1"/>
      <c r="I174" s="1"/>
      <c r="J174" s="5" t="str">
        <f>IF(C174="x","JUIST","")</f>
        <v/>
      </c>
      <c r="K174" s="5">
        <f>ABS(IF(J174="JUIST","0,5","0"))</f>
        <v>0</v>
      </c>
      <c r="L174" s="3">
        <v>0.5</v>
      </c>
      <c r="M174" s="1" t="s">
        <v>304</v>
      </c>
      <c r="N174" s="1"/>
    </row>
    <row r="175" spans="1:14" x14ac:dyDescent="0.2">
      <c r="A175" s="483" t="s">
        <v>323</v>
      </c>
      <c r="B175" s="54" t="s">
        <v>171</v>
      </c>
      <c r="C175" s="10"/>
      <c r="D175" s="10"/>
      <c r="E175" s="3" t="str">
        <f>IF(C192="x",M175,"")</f>
        <v/>
      </c>
      <c r="F175" s="1"/>
      <c r="G175" s="1"/>
      <c r="H175" s="1"/>
      <c r="I175" s="1"/>
      <c r="J175" s="5" t="str">
        <f>IF(D175="x","JUIST","")</f>
        <v/>
      </c>
      <c r="K175" s="5">
        <f>ABS(IF(J175="JUIST","0,5","0"))</f>
        <v>0</v>
      </c>
      <c r="L175" s="3">
        <v>0.5</v>
      </c>
      <c r="M175" s="1" t="s">
        <v>306</v>
      </c>
      <c r="N175" s="1"/>
    </row>
    <row r="176" spans="1:14" x14ac:dyDescent="0.2">
      <c r="A176" s="483" t="s">
        <v>1125</v>
      </c>
      <c r="B176" s="54" t="s">
        <v>2570</v>
      </c>
      <c r="C176" s="10" t="s">
        <v>995</v>
      </c>
      <c r="D176" s="10" t="s">
        <v>995</v>
      </c>
      <c r="E176" s="3" t="str">
        <f>IF(C192="x",M176,"")</f>
        <v/>
      </c>
      <c r="F176" s="1"/>
      <c r="G176" s="1"/>
      <c r="H176" s="1"/>
      <c r="I176" s="1"/>
      <c r="J176" s="5" t="str">
        <f>IF(C176="x","JUIST","")</f>
        <v/>
      </c>
      <c r="K176" s="5">
        <f>ABS(IF(J176="JUIST","0,5","0"))</f>
        <v>0</v>
      </c>
      <c r="L176" s="3">
        <v>0.5</v>
      </c>
      <c r="M176" s="1" t="s">
        <v>304</v>
      </c>
      <c r="N176" s="1"/>
    </row>
    <row r="177" spans="1:14" x14ac:dyDescent="0.2">
      <c r="A177" s="483" t="s">
        <v>1130</v>
      </c>
      <c r="B177" s="54" t="s">
        <v>2571</v>
      </c>
      <c r="C177" s="407"/>
      <c r="D177" s="406"/>
      <c r="E177" s="1"/>
      <c r="F177" s="1"/>
      <c r="G177" s="1"/>
      <c r="H177" s="1"/>
      <c r="I177" s="1"/>
      <c r="J177" s="1"/>
      <c r="K177" s="1"/>
      <c r="L177" s="1"/>
      <c r="M177" s="1"/>
      <c r="N177" s="1"/>
    </row>
    <row r="178" spans="1:14" x14ac:dyDescent="0.2">
      <c r="A178" s="64" t="s">
        <v>995</v>
      </c>
      <c r="B178" s="55" t="s">
        <v>172</v>
      </c>
      <c r="C178" s="10" t="s">
        <v>995</v>
      </c>
      <c r="D178" s="10" t="s">
        <v>995</v>
      </c>
      <c r="E178" s="3" t="str">
        <f>IF(C192="x",M178,"")</f>
        <v/>
      </c>
      <c r="F178" s="1"/>
      <c r="G178" s="1"/>
      <c r="H178" s="1"/>
      <c r="I178" s="1"/>
      <c r="J178" s="5" t="str">
        <f>IF(C178="x","JUIST","")</f>
        <v/>
      </c>
      <c r="K178" s="5">
        <f t="shared" ref="K178:K188" si="2">ABS(IF(J178="JUIST","0,5","0"))</f>
        <v>0</v>
      </c>
      <c r="L178" s="3">
        <v>0.5</v>
      </c>
      <c r="M178" s="1" t="s">
        <v>304</v>
      </c>
      <c r="N178" s="1"/>
    </row>
    <row r="179" spans="1:14" x14ac:dyDescent="0.2">
      <c r="A179" s="483" t="s">
        <v>1133</v>
      </c>
      <c r="B179" s="54" t="s">
        <v>173</v>
      </c>
      <c r="C179" s="407"/>
      <c r="D179" s="406"/>
      <c r="E179" s="1"/>
      <c r="F179" s="1"/>
      <c r="G179" s="1"/>
      <c r="H179" s="1"/>
      <c r="I179" s="1"/>
      <c r="J179" s="1"/>
      <c r="K179" s="1"/>
      <c r="L179" s="1"/>
      <c r="M179" s="1"/>
      <c r="N179" s="1"/>
    </row>
    <row r="180" spans="1:14" x14ac:dyDescent="0.2">
      <c r="A180" s="64" t="s">
        <v>995</v>
      </c>
      <c r="B180" s="55" t="s">
        <v>174</v>
      </c>
      <c r="C180" s="10" t="s">
        <v>995</v>
      </c>
      <c r="D180" s="10" t="s">
        <v>995</v>
      </c>
      <c r="E180" s="3" t="str">
        <f>IF(C192="x",M180,"")</f>
        <v/>
      </c>
      <c r="F180" s="1"/>
      <c r="G180" s="1"/>
      <c r="H180" s="1"/>
      <c r="I180" s="1"/>
      <c r="J180" s="5" t="str">
        <f>IF(C180="x","JUIST","")</f>
        <v/>
      </c>
      <c r="K180" s="5">
        <f t="shared" si="2"/>
        <v>0</v>
      </c>
      <c r="L180" s="3">
        <v>0.5</v>
      </c>
      <c r="M180" s="1" t="s">
        <v>304</v>
      </c>
      <c r="N180" s="1"/>
    </row>
    <row r="181" spans="1:14" x14ac:dyDescent="0.2">
      <c r="A181" s="483" t="s">
        <v>1137</v>
      </c>
      <c r="B181" s="54" t="s">
        <v>2572</v>
      </c>
      <c r="C181" s="407"/>
      <c r="D181" s="406"/>
      <c r="E181" s="1"/>
      <c r="F181" s="1"/>
      <c r="G181" s="1"/>
      <c r="H181" s="1"/>
      <c r="I181" s="1"/>
      <c r="J181" s="1"/>
      <c r="K181" s="1"/>
      <c r="L181" s="1"/>
      <c r="M181" s="1"/>
      <c r="N181" s="1"/>
    </row>
    <row r="182" spans="1:14" x14ac:dyDescent="0.2">
      <c r="A182" s="64" t="s">
        <v>995</v>
      </c>
      <c r="B182" s="55" t="s">
        <v>175</v>
      </c>
      <c r="C182" s="10" t="s">
        <v>995</v>
      </c>
      <c r="D182" s="10" t="s">
        <v>995</v>
      </c>
      <c r="E182" s="3" t="str">
        <f>IF(C192="x",M182,"")</f>
        <v/>
      </c>
      <c r="F182" s="1"/>
      <c r="G182" s="1"/>
      <c r="H182" s="1"/>
      <c r="I182" s="1"/>
      <c r="J182" s="5" t="str">
        <f>IF(C182="x","JUIST","")</f>
        <v/>
      </c>
      <c r="K182" s="5">
        <f t="shared" si="2"/>
        <v>0</v>
      </c>
      <c r="L182" s="3">
        <v>0.5</v>
      </c>
      <c r="M182" s="1" t="s">
        <v>304</v>
      </c>
      <c r="N182" s="1"/>
    </row>
    <row r="183" spans="1:14" x14ac:dyDescent="0.2">
      <c r="A183" s="483" t="s">
        <v>1139</v>
      </c>
      <c r="B183" s="54" t="s">
        <v>176</v>
      </c>
      <c r="C183" s="10"/>
      <c r="D183" s="10"/>
      <c r="E183" s="3" t="str">
        <f>IF(C192="x",M183,"")</f>
        <v/>
      </c>
      <c r="F183" s="1"/>
      <c r="G183" s="1"/>
      <c r="H183" s="1"/>
      <c r="I183" s="1"/>
      <c r="J183" s="5" t="str">
        <f>IF(D183="x","JUIST","")</f>
        <v/>
      </c>
      <c r="K183" s="5">
        <f t="shared" si="2"/>
        <v>0</v>
      </c>
      <c r="L183" s="3">
        <v>0.5</v>
      </c>
      <c r="M183" s="1" t="s">
        <v>306</v>
      </c>
      <c r="N183" s="1"/>
    </row>
    <row r="184" spans="1:14" x14ac:dyDescent="0.2">
      <c r="A184" s="483" t="s">
        <v>1142</v>
      </c>
      <c r="B184" s="54" t="s">
        <v>177</v>
      </c>
      <c r="C184" s="407"/>
      <c r="D184" s="406"/>
      <c r="E184" s="1"/>
      <c r="F184" s="1"/>
      <c r="G184" s="1"/>
      <c r="H184" s="1"/>
      <c r="I184" s="1"/>
      <c r="J184" s="1"/>
      <c r="K184" s="1"/>
      <c r="L184" s="1"/>
      <c r="M184" s="1"/>
      <c r="N184" s="1"/>
    </row>
    <row r="185" spans="1:14" x14ac:dyDescent="0.2">
      <c r="A185" s="64" t="s">
        <v>995</v>
      </c>
      <c r="B185" s="55" t="s">
        <v>178</v>
      </c>
      <c r="C185" s="10" t="s">
        <v>995</v>
      </c>
      <c r="D185" s="10" t="s">
        <v>995</v>
      </c>
      <c r="E185" s="3" t="str">
        <f>IF(C192="x",M185,"")</f>
        <v/>
      </c>
      <c r="F185" s="1"/>
      <c r="G185" s="1"/>
      <c r="H185" s="1"/>
      <c r="I185" s="1"/>
      <c r="J185" s="5" t="str">
        <f>IF(C185="x","JUIST","")</f>
        <v/>
      </c>
      <c r="K185" s="5">
        <f t="shared" si="2"/>
        <v>0</v>
      </c>
      <c r="L185" s="3">
        <v>0.5</v>
      </c>
      <c r="M185" s="1" t="s">
        <v>304</v>
      </c>
      <c r="N185" s="1"/>
    </row>
    <row r="186" spans="1:14" x14ac:dyDescent="0.2">
      <c r="A186" s="483" t="s">
        <v>1146</v>
      </c>
      <c r="B186" s="54" t="s">
        <v>179</v>
      </c>
      <c r="C186" s="407"/>
      <c r="D186" s="406"/>
      <c r="E186" s="1"/>
      <c r="F186" s="1"/>
      <c r="G186" s="1"/>
      <c r="H186" s="1"/>
      <c r="I186" s="1"/>
      <c r="J186" s="1"/>
      <c r="K186" s="1"/>
      <c r="L186" s="1"/>
      <c r="M186" s="1"/>
      <c r="N186" s="1"/>
    </row>
    <row r="187" spans="1:14" x14ac:dyDescent="0.2">
      <c r="A187" s="64" t="s">
        <v>995</v>
      </c>
      <c r="B187" s="55" t="s">
        <v>180</v>
      </c>
      <c r="C187" s="10" t="s">
        <v>995</v>
      </c>
      <c r="D187" s="10" t="s">
        <v>995</v>
      </c>
      <c r="E187" s="3" t="str">
        <f>IF(C192="x",M187,"")</f>
        <v/>
      </c>
      <c r="F187" s="1"/>
      <c r="G187" s="1"/>
      <c r="H187" s="1"/>
      <c r="I187" s="1"/>
      <c r="J187" s="5" t="str">
        <f>IF(C187="x","JUIST","")</f>
        <v/>
      </c>
      <c r="K187" s="5">
        <f t="shared" si="2"/>
        <v>0</v>
      </c>
      <c r="L187" s="3">
        <v>0.5</v>
      </c>
      <c r="M187" s="1" t="s">
        <v>304</v>
      </c>
      <c r="N187" s="1"/>
    </row>
    <row r="188" spans="1:14" x14ac:dyDescent="0.2">
      <c r="A188" s="483" t="s">
        <v>1158</v>
      </c>
      <c r="B188" s="54" t="s">
        <v>183</v>
      </c>
      <c r="C188" s="10" t="s">
        <v>995</v>
      </c>
      <c r="D188" s="10" t="s">
        <v>995</v>
      </c>
      <c r="E188" s="3" t="str">
        <f>IF(C192="x",M188,"")</f>
        <v/>
      </c>
      <c r="F188" s="1"/>
      <c r="G188" s="1"/>
      <c r="H188" s="1"/>
      <c r="I188" s="1"/>
      <c r="J188" s="5" t="str">
        <f>IF(C188="x","JUIST","")</f>
        <v/>
      </c>
      <c r="K188" s="5">
        <f t="shared" si="2"/>
        <v>0</v>
      </c>
      <c r="L188" s="3">
        <v>0.5</v>
      </c>
      <c r="M188" s="1" t="s">
        <v>304</v>
      </c>
      <c r="N188" s="1"/>
    </row>
    <row r="189" spans="1:14" x14ac:dyDescent="0.2">
      <c r="A189" s="483" t="s">
        <v>1492</v>
      </c>
      <c r="B189" s="54" t="s">
        <v>181</v>
      </c>
      <c r="C189" s="407"/>
      <c r="D189" s="406"/>
      <c r="E189" s="1"/>
      <c r="F189" s="1"/>
      <c r="G189" s="1"/>
      <c r="H189" s="1"/>
      <c r="I189" s="1"/>
      <c r="J189" s="79"/>
      <c r="K189" s="79"/>
      <c r="L189" s="3"/>
      <c r="M189" s="1"/>
      <c r="N189" s="1"/>
    </row>
    <row r="190" spans="1:14" x14ac:dyDescent="0.2">
      <c r="A190" s="484" t="s">
        <v>995</v>
      </c>
      <c r="B190" s="28" t="s">
        <v>182</v>
      </c>
      <c r="C190" s="10" t="s">
        <v>995</v>
      </c>
      <c r="D190" s="10" t="s">
        <v>995</v>
      </c>
      <c r="E190" s="3" t="str">
        <f>IF(C192="x",M190,"")</f>
        <v/>
      </c>
      <c r="F190" s="1"/>
      <c r="G190" s="1"/>
      <c r="H190" s="1"/>
      <c r="I190" s="1"/>
      <c r="J190" s="5" t="str">
        <f>IF(D190="x","JUIST","")</f>
        <v/>
      </c>
      <c r="K190" s="5">
        <f>ABS(IF(J190="JUIST","0,5","0"))</f>
        <v>0</v>
      </c>
      <c r="L190" s="3">
        <v>0.5</v>
      </c>
      <c r="M190" s="1" t="s">
        <v>306</v>
      </c>
      <c r="N190" s="1"/>
    </row>
    <row r="191" spans="1:14" x14ac:dyDescent="0.2">
      <c r="A191" s="1"/>
      <c r="B191" s="1"/>
      <c r="C191" s="1"/>
      <c r="D191" s="1"/>
      <c r="E191" s="1"/>
      <c r="F191" s="1"/>
      <c r="G191" s="1"/>
      <c r="H191" s="1"/>
      <c r="I191" s="1"/>
      <c r="J191" s="1"/>
      <c r="K191" s="1"/>
      <c r="L191" s="1"/>
      <c r="M191" s="1"/>
      <c r="N191" s="1"/>
    </row>
    <row r="192" spans="1:14" x14ac:dyDescent="0.2">
      <c r="A192" s="1"/>
      <c r="B192" s="82" t="s">
        <v>1033</v>
      </c>
      <c r="C192" s="318" t="s">
        <v>995</v>
      </c>
      <c r="D192" s="1"/>
      <c r="E192" s="1"/>
      <c r="F192" s="1"/>
      <c r="G192" s="1"/>
      <c r="H192" s="1"/>
      <c r="I192" s="1"/>
      <c r="J192" s="1"/>
      <c r="K192" s="1"/>
      <c r="L192" s="1"/>
      <c r="M192" s="1"/>
      <c r="N192" s="1"/>
    </row>
    <row r="193" spans="1:14" x14ac:dyDescent="0.2">
      <c r="A193" s="1"/>
      <c r="B193" s="1"/>
      <c r="C193" s="1"/>
      <c r="D193" s="1"/>
      <c r="E193" s="1"/>
      <c r="F193" s="1"/>
      <c r="G193" s="1"/>
      <c r="H193" s="1"/>
      <c r="I193" s="1"/>
      <c r="J193" s="1"/>
      <c r="K193" s="1"/>
      <c r="L193" s="1"/>
      <c r="M193" s="1"/>
      <c r="N193" s="1"/>
    </row>
    <row r="194" spans="1:14" x14ac:dyDescent="0.2">
      <c r="A194" s="14"/>
      <c r="B194" s="14"/>
      <c r="C194" s="14"/>
      <c r="D194" s="14"/>
      <c r="E194" s="14"/>
      <c r="F194" s="14"/>
      <c r="G194" s="14"/>
      <c r="H194" s="14"/>
      <c r="I194" s="14"/>
      <c r="J194" s="1"/>
      <c r="K194" s="1"/>
      <c r="L194" s="1"/>
      <c r="M194" s="1"/>
      <c r="N194" s="1"/>
    </row>
    <row r="195" spans="1:14" x14ac:dyDescent="0.2">
      <c r="A195" s="1"/>
      <c r="B195" s="1"/>
      <c r="C195" s="1"/>
      <c r="D195" s="1"/>
      <c r="E195" s="1"/>
      <c r="F195" s="1"/>
      <c r="G195" s="1"/>
      <c r="H195" s="1"/>
      <c r="I195" s="1"/>
      <c r="J195" s="1"/>
      <c r="K195" s="1"/>
      <c r="L195" s="1"/>
      <c r="M195" s="1"/>
      <c r="N195" s="1"/>
    </row>
    <row r="196" spans="1:14" x14ac:dyDescent="0.2">
      <c r="A196" s="1" t="s">
        <v>862</v>
      </c>
      <c r="B196" s="1" t="s">
        <v>190</v>
      </c>
      <c r="C196" s="1"/>
      <c r="D196" s="1"/>
      <c r="E196" s="1"/>
      <c r="F196" s="1"/>
      <c r="G196" s="1"/>
      <c r="H196" s="1"/>
      <c r="I196" s="1"/>
      <c r="J196" s="1"/>
      <c r="K196" s="1"/>
      <c r="L196" s="1"/>
      <c r="M196" s="1"/>
      <c r="N196" s="1"/>
    </row>
    <row r="197" spans="1:14" x14ac:dyDescent="0.2">
      <c r="A197" s="1"/>
      <c r="B197" s="1"/>
      <c r="C197" s="1"/>
      <c r="D197" s="1"/>
      <c r="E197" s="1"/>
      <c r="F197" s="1"/>
      <c r="G197" s="1"/>
      <c r="H197" s="1"/>
      <c r="I197" s="1"/>
      <c r="J197" s="1"/>
      <c r="K197" s="1"/>
      <c r="L197" s="1"/>
      <c r="N197" s="1"/>
    </row>
    <row r="198" spans="1:14" x14ac:dyDescent="0.2">
      <c r="A198" s="483" t="s">
        <v>999</v>
      </c>
      <c r="B198" s="483" t="s">
        <v>1989</v>
      </c>
      <c r="C198" s="5" t="s">
        <v>184</v>
      </c>
      <c r="D198" s="5" t="s">
        <v>185</v>
      </c>
      <c r="E198" s="5" t="s">
        <v>186</v>
      </c>
      <c r="F198" s="5" t="s">
        <v>187</v>
      </c>
      <c r="G198" s="5" t="s">
        <v>188</v>
      </c>
      <c r="H198" s="1"/>
      <c r="I198" s="1"/>
      <c r="J198" s="1"/>
      <c r="K198" s="1"/>
      <c r="L198" s="1"/>
      <c r="M198" s="1"/>
      <c r="N198" s="1"/>
    </row>
    <row r="199" spans="1:14" x14ac:dyDescent="0.2">
      <c r="A199" s="484" t="s">
        <v>995</v>
      </c>
      <c r="B199" s="484" t="s">
        <v>1990</v>
      </c>
      <c r="C199" s="10" t="s">
        <v>995</v>
      </c>
      <c r="D199" s="10" t="s">
        <v>995</v>
      </c>
      <c r="E199" s="318" t="s">
        <v>995</v>
      </c>
      <c r="F199" s="318" t="s">
        <v>995</v>
      </c>
      <c r="G199" s="318" t="s">
        <v>995</v>
      </c>
      <c r="H199" s="1"/>
      <c r="I199" s="1"/>
      <c r="J199" s="5" t="str">
        <f>IF(G199="x","JUIST","")</f>
        <v/>
      </c>
      <c r="K199" s="5">
        <f>ABS(IF(J199="JUIST","0,5","0"))</f>
        <v>0</v>
      </c>
      <c r="L199" s="3">
        <v>0.5</v>
      </c>
      <c r="M199" s="1" t="s">
        <v>187</v>
      </c>
      <c r="N199" s="1"/>
    </row>
    <row r="200" spans="1:14" x14ac:dyDescent="0.2">
      <c r="A200" s="6" t="s">
        <v>1000</v>
      </c>
      <c r="B200" s="542" t="s">
        <v>2573</v>
      </c>
      <c r="C200" s="318" t="s">
        <v>995</v>
      </c>
      <c r="D200" s="318" t="s">
        <v>995</v>
      </c>
      <c r="E200" s="318" t="s">
        <v>995</v>
      </c>
      <c r="F200" s="318" t="s">
        <v>995</v>
      </c>
      <c r="G200" s="318" t="s">
        <v>995</v>
      </c>
      <c r="H200" s="1"/>
      <c r="I200" s="1"/>
      <c r="J200" s="5" t="str">
        <f>IF(C200="x","JUIST","")</f>
        <v/>
      </c>
      <c r="K200" s="5">
        <f>ABS(IF(J200="JUIST","0,5","0"))</f>
        <v>0</v>
      </c>
      <c r="L200" s="3">
        <v>0.5</v>
      </c>
      <c r="M200" s="1" t="s">
        <v>188</v>
      </c>
      <c r="N200" s="1"/>
    </row>
    <row r="201" spans="1:14" x14ac:dyDescent="0.2">
      <c r="A201" s="6" t="s">
        <v>1001</v>
      </c>
      <c r="B201" s="6" t="s">
        <v>189</v>
      </c>
      <c r="C201" s="318" t="s">
        <v>995</v>
      </c>
      <c r="D201" s="10" t="s">
        <v>995</v>
      </c>
      <c r="E201" s="318" t="s">
        <v>995</v>
      </c>
      <c r="F201" s="10" t="s">
        <v>995</v>
      </c>
      <c r="G201" s="10" t="s">
        <v>995</v>
      </c>
      <c r="H201" s="1"/>
      <c r="I201" s="1"/>
      <c r="J201" s="5" t="str">
        <f>IF(E201="x","JUIST","")</f>
        <v/>
      </c>
      <c r="K201" s="5">
        <f>ABS(IF(J201="JUIST","0,5","0"))</f>
        <v>0</v>
      </c>
      <c r="L201" s="3">
        <v>0.5</v>
      </c>
      <c r="M201" s="1" t="s">
        <v>186</v>
      </c>
      <c r="N201" s="1"/>
    </row>
    <row r="202" spans="1:14" x14ac:dyDescent="0.2">
      <c r="A202" s="1"/>
      <c r="B202" s="1"/>
      <c r="C202" s="1"/>
      <c r="D202" s="1"/>
      <c r="E202" s="1"/>
      <c r="F202" s="1"/>
      <c r="G202" s="1"/>
      <c r="H202" s="1"/>
      <c r="I202" s="1"/>
      <c r="J202" s="6" t="str">
        <f>IF(C203="x","A=11 uur, B=8 uur, C=10 uur","")</f>
        <v/>
      </c>
      <c r="K202" s="1"/>
      <c r="L202" s="1"/>
      <c r="M202" s="1"/>
      <c r="N202" s="1"/>
    </row>
    <row r="203" spans="1:14" x14ac:dyDescent="0.2">
      <c r="A203" s="1"/>
      <c r="B203" s="82" t="s">
        <v>1033</v>
      </c>
      <c r="C203" s="318" t="s">
        <v>995</v>
      </c>
      <c r="D203" s="1"/>
      <c r="E203" s="1" t="str">
        <f>IF(C203="x",J202,"")</f>
        <v/>
      </c>
      <c r="F203" s="1"/>
      <c r="G203" s="1"/>
      <c r="H203" s="1"/>
      <c r="I203" s="1"/>
      <c r="J203" s="1"/>
      <c r="K203" s="1"/>
      <c r="L203" s="1"/>
      <c r="M203" s="1"/>
      <c r="N203" s="1"/>
    </row>
    <row r="204" spans="1:14" x14ac:dyDescent="0.2">
      <c r="A204" s="1"/>
      <c r="B204" s="1"/>
      <c r="C204" s="1"/>
      <c r="D204" s="1"/>
      <c r="E204" s="1"/>
      <c r="F204" s="1"/>
      <c r="G204" s="1"/>
      <c r="H204" s="1"/>
      <c r="I204" s="1"/>
      <c r="J204" s="1"/>
      <c r="K204" s="1"/>
      <c r="L204" s="1"/>
      <c r="M204" s="1"/>
      <c r="N204" s="1"/>
    </row>
    <row r="205" spans="1:14" x14ac:dyDescent="0.2">
      <c r="A205" s="14"/>
      <c r="B205" s="14"/>
      <c r="C205" s="14"/>
      <c r="D205" s="14"/>
      <c r="E205" s="14"/>
      <c r="F205" s="14"/>
      <c r="G205" s="14"/>
      <c r="H205" s="14"/>
      <c r="I205" s="14"/>
      <c r="J205" s="1"/>
      <c r="K205" s="1"/>
      <c r="L205" s="1"/>
      <c r="M205" s="1"/>
      <c r="N205" s="1"/>
    </row>
    <row r="206" spans="1:14" x14ac:dyDescent="0.2">
      <c r="A206" s="1"/>
      <c r="B206" s="1"/>
      <c r="C206" s="1"/>
      <c r="D206" s="1"/>
      <c r="E206" s="1"/>
      <c r="F206" s="1"/>
      <c r="G206" s="1"/>
      <c r="H206" s="1"/>
      <c r="I206" s="1"/>
      <c r="J206" s="1"/>
      <c r="K206" s="1"/>
      <c r="L206" s="1"/>
      <c r="M206" s="1"/>
      <c r="N206" s="1"/>
    </row>
    <row r="207" spans="1:14" x14ac:dyDescent="0.2">
      <c r="A207" s="1" t="s">
        <v>870</v>
      </c>
      <c r="B207" s="1" t="s">
        <v>191</v>
      </c>
      <c r="C207" s="1"/>
      <c r="D207" s="1"/>
      <c r="E207" s="1"/>
      <c r="F207" s="1"/>
      <c r="G207" s="1"/>
      <c r="H207" s="1"/>
      <c r="I207" s="1"/>
      <c r="J207" s="1"/>
      <c r="K207" s="1"/>
      <c r="L207" s="1"/>
      <c r="M207" s="1"/>
      <c r="N207" s="1"/>
    </row>
    <row r="208" spans="1:14" x14ac:dyDescent="0.2">
      <c r="A208" s="1"/>
      <c r="B208" s="1"/>
      <c r="C208" s="1"/>
      <c r="D208" s="1"/>
      <c r="E208" s="1"/>
      <c r="F208" s="1"/>
      <c r="G208" s="1"/>
      <c r="H208" s="1"/>
      <c r="I208" s="1"/>
      <c r="J208" s="1"/>
      <c r="K208" s="1"/>
      <c r="L208" s="1"/>
      <c r="M208" s="1"/>
      <c r="N208" s="1"/>
    </row>
    <row r="209" spans="1:14" ht="26.25" thickBot="1" x14ac:dyDescent="0.25">
      <c r="A209" s="1"/>
      <c r="B209" s="103" t="s">
        <v>2574</v>
      </c>
      <c r="C209" s="1"/>
      <c r="D209" s="102" t="s">
        <v>446</v>
      </c>
      <c r="E209" s="102" t="s">
        <v>1623</v>
      </c>
      <c r="F209" s="526" t="s">
        <v>2119</v>
      </c>
      <c r="G209" s="527" t="s">
        <v>2120</v>
      </c>
      <c r="H209" s="1"/>
      <c r="I209" s="1"/>
      <c r="J209" s="5" t="str">
        <f>IF(D210="x","FOUT","")</f>
        <v/>
      </c>
      <c r="K209" s="5">
        <f>ABS(IF(J209="JUIST","1","0"))</f>
        <v>0</v>
      </c>
      <c r="L209" s="3" t="s">
        <v>995</v>
      </c>
      <c r="M209" s="1"/>
      <c r="N209" s="1"/>
    </row>
    <row r="210" spans="1:14" ht="13.5" thickTop="1" x14ac:dyDescent="0.2">
      <c r="A210" s="1"/>
      <c r="B210" s="61" t="s">
        <v>2575</v>
      </c>
      <c r="C210" s="1"/>
      <c r="D210" s="56" t="s">
        <v>995</v>
      </c>
      <c r="E210" s="56" t="s">
        <v>995</v>
      </c>
      <c r="F210" s="425" t="s">
        <v>995</v>
      </c>
      <c r="G210" s="56" t="s">
        <v>995</v>
      </c>
      <c r="H210" s="1"/>
      <c r="I210" s="1"/>
      <c r="J210" s="5" t="str">
        <f>IF(E210="x","FOUTT","")</f>
        <v/>
      </c>
      <c r="K210" s="5">
        <f>ABS(IF(J210="JUIST","1","0"))</f>
        <v>0</v>
      </c>
      <c r="L210" s="3" t="s">
        <v>995</v>
      </c>
      <c r="M210" s="1"/>
      <c r="N210" s="1"/>
    </row>
    <row r="211" spans="1:14" x14ac:dyDescent="0.2">
      <c r="A211" s="1"/>
      <c r="B211" s="519" t="s">
        <v>2576</v>
      </c>
      <c r="D211" s="3" t="s">
        <v>475</v>
      </c>
      <c r="E211" s="3" t="s">
        <v>476</v>
      </c>
      <c r="F211" s="3" t="s">
        <v>477</v>
      </c>
      <c r="G211" s="3" t="s">
        <v>478</v>
      </c>
      <c r="H211" s="1"/>
      <c r="I211" s="1"/>
      <c r="J211" s="5" t="str">
        <f>IF(F210="x","JUIST","")</f>
        <v/>
      </c>
      <c r="K211" s="5">
        <f>ABS(IF(J211="JUIST","1","0"))</f>
        <v>0</v>
      </c>
      <c r="L211" s="3">
        <v>1</v>
      </c>
      <c r="M211" s="1"/>
      <c r="N211" s="1"/>
    </row>
    <row r="212" spans="1:14" x14ac:dyDescent="0.2">
      <c r="A212" s="1"/>
      <c r="C212" s="67" t="s">
        <v>995</v>
      </c>
      <c r="D212" s="1"/>
      <c r="E212" s="1"/>
      <c r="F212" s="1"/>
      <c r="G212" s="1"/>
      <c r="H212" s="1"/>
      <c r="I212" s="1"/>
      <c r="J212" s="5" t="str">
        <f>IF(G210="x","FOUT","")</f>
        <v/>
      </c>
      <c r="K212" s="5">
        <f>ABS(IF(J212="JUIST","1","0"))</f>
        <v>0</v>
      </c>
      <c r="L212" s="3" t="s">
        <v>995</v>
      </c>
      <c r="M212" s="1"/>
      <c r="N212" s="1"/>
    </row>
    <row r="213" spans="1:14" x14ac:dyDescent="0.2">
      <c r="A213" s="1"/>
      <c r="B213" s="82" t="s">
        <v>1033</v>
      </c>
      <c r="C213" s="318" t="s">
        <v>995</v>
      </c>
      <c r="D213" s="3"/>
      <c r="E213" s="3"/>
      <c r="F213" s="3"/>
      <c r="G213" s="1"/>
      <c r="H213" s="1"/>
      <c r="I213" s="1"/>
      <c r="J213" s="73" t="str">
        <f>IF(C213="x","Het juiste antwoord is:  C.","")</f>
        <v/>
      </c>
      <c r="K213" s="1"/>
      <c r="L213" s="3"/>
      <c r="M213" s="1"/>
      <c r="N213" s="1"/>
    </row>
    <row r="214" spans="1:14" x14ac:dyDescent="0.2">
      <c r="A214" s="1"/>
      <c r="B214" s="1" t="str">
        <f>IF(C213="x",J213,"")</f>
        <v/>
      </c>
      <c r="C214" s="1"/>
      <c r="D214" s="1"/>
      <c r="E214" s="1"/>
      <c r="F214" s="1"/>
      <c r="G214" s="1"/>
      <c r="H214" s="1"/>
      <c r="I214" s="1"/>
      <c r="J214" s="1"/>
      <c r="K214" s="1"/>
      <c r="L214" s="3"/>
      <c r="M214" s="1"/>
      <c r="N214" s="1"/>
    </row>
    <row r="215" spans="1:14" x14ac:dyDescent="0.2">
      <c r="A215" s="14"/>
      <c r="B215" s="14"/>
      <c r="C215" s="14"/>
      <c r="D215" s="14"/>
      <c r="E215" s="14"/>
      <c r="F215" s="14"/>
      <c r="G215" s="14"/>
      <c r="H215" s="14"/>
      <c r="I215" s="14"/>
      <c r="J215" s="1"/>
      <c r="K215" s="1"/>
      <c r="L215" s="1"/>
      <c r="M215" s="1"/>
      <c r="N215" s="1"/>
    </row>
    <row r="216" spans="1:14" x14ac:dyDescent="0.2">
      <c r="A216" s="1"/>
      <c r="B216" s="1"/>
      <c r="C216" s="1"/>
      <c r="D216" s="1"/>
      <c r="E216" s="1"/>
      <c r="F216" s="1"/>
      <c r="G216" s="1"/>
      <c r="H216" s="1"/>
      <c r="I216" s="1"/>
      <c r="J216" s="1"/>
      <c r="K216" s="1"/>
      <c r="L216" s="1"/>
      <c r="M216" s="1"/>
      <c r="N216" s="1"/>
    </row>
    <row r="217" spans="1:14" x14ac:dyDescent="0.2">
      <c r="A217" s="1" t="s">
        <v>1632</v>
      </c>
      <c r="B217" s="1" t="s">
        <v>192</v>
      </c>
      <c r="C217" s="1"/>
      <c r="D217" s="1"/>
      <c r="E217" s="1"/>
      <c r="F217" s="1"/>
      <c r="G217" s="1"/>
      <c r="H217" s="1"/>
      <c r="I217" s="1"/>
      <c r="J217" s="1"/>
      <c r="K217" s="1"/>
      <c r="L217" s="1"/>
      <c r="M217" s="1"/>
      <c r="N217" s="1"/>
    </row>
    <row r="218" spans="1:14" x14ac:dyDescent="0.2">
      <c r="A218" s="1"/>
      <c r="B218" s="1"/>
      <c r="C218" s="1"/>
      <c r="D218" s="1"/>
      <c r="E218" s="1"/>
      <c r="F218" s="1"/>
      <c r="G218" s="1"/>
      <c r="H218" s="1"/>
      <c r="I218" s="1"/>
      <c r="J218" s="1"/>
      <c r="K218" s="1"/>
      <c r="L218" s="1"/>
      <c r="M218" s="1"/>
      <c r="N218" s="1"/>
    </row>
    <row r="219" spans="1:14" ht="41.25" customHeight="1" thickBot="1" x14ac:dyDescent="0.25">
      <c r="A219" s="1"/>
      <c r="B219" s="540" t="s">
        <v>2578</v>
      </c>
      <c r="C219" s="1"/>
      <c r="D219" s="102" t="s">
        <v>446</v>
      </c>
      <c r="E219" s="102" t="s">
        <v>1623</v>
      </c>
      <c r="F219" s="526" t="s">
        <v>2119</v>
      </c>
      <c r="G219" s="527" t="s">
        <v>2120</v>
      </c>
      <c r="H219" s="1"/>
      <c r="I219" s="1"/>
      <c r="J219" s="5" t="str">
        <f>IF(D220="x","JUIST","")</f>
        <v/>
      </c>
      <c r="K219" s="5">
        <f>ABS(IF(J219="JUIST","1","0"))</f>
        <v>0</v>
      </c>
      <c r="L219" s="3">
        <v>1</v>
      </c>
      <c r="M219" s="1"/>
      <c r="N219" s="1"/>
    </row>
    <row r="220" spans="1:14" ht="13.5" thickTop="1" x14ac:dyDescent="0.2">
      <c r="A220" s="1"/>
      <c r="B220" t="s">
        <v>995</v>
      </c>
      <c r="C220" s="1"/>
      <c r="D220" s="56" t="s">
        <v>995</v>
      </c>
      <c r="E220" s="56" t="s">
        <v>995</v>
      </c>
      <c r="F220" s="56" t="s">
        <v>995</v>
      </c>
      <c r="G220" s="56" t="s">
        <v>995</v>
      </c>
      <c r="H220" s="1"/>
      <c r="I220" s="1"/>
      <c r="J220" s="5" t="str">
        <f>IF(E220="x","FOUT","")</f>
        <v/>
      </c>
      <c r="K220" s="5">
        <f>ABS(IF(J220="JUIST","1","0"))</f>
        <v>0</v>
      </c>
      <c r="L220" s="3" t="s">
        <v>995</v>
      </c>
      <c r="M220" s="1"/>
      <c r="N220" s="1"/>
    </row>
    <row r="221" spans="1:14" x14ac:dyDescent="0.2">
      <c r="A221" s="1"/>
      <c r="B221" s="61" t="s">
        <v>2577</v>
      </c>
      <c r="C221" s="1"/>
      <c r="D221" s="3" t="s">
        <v>475</v>
      </c>
      <c r="E221" s="3" t="s">
        <v>476</v>
      </c>
      <c r="F221" s="3" t="s">
        <v>477</v>
      </c>
      <c r="G221" s="3" t="s">
        <v>478</v>
      </c>
      <c r="H221" s="1"/>
      <c r="I221" s="1"/>
      <c r="J221" s="5" t="str">
        <f>IF(F220="x","FOUT","")</f>
        <v/>
      </c>
      <c r="K221" s="5">
        <f>ABS(IF(J221="JUIST","1","0"))</f>
        <v>0</v>
      </c>
      <c r="L221" s="3" t="s">
        <v>995</v>
      </c>
      <c r="M221" s="1"/>
      <c r="N221" s="1"/>
    </row>
    <row r="222" spans="1:14" x14ac:dyDescent="0.2">
      <c r="A222" s="1"/>
      <c r="B222" s="1" t="s">
        <v>995</v>
      </c>
      <c r="D222" s="1"/>
      <c r="E222" s="1"/>
      <c r="F222" s="1"/>
      <c r="G222" s="1"/>
      <c r="H222" s="1"/>
      <c r="I222" s="1"/>
      <c r="J222" s="5" t="str">
        <f>IF(G220="x","FOUT","")</f>
        <v/>
      </c>
      <c r="K222" s="5">
        <f>ABS(IF(J222="JUIST","1","0"))</f>
        <v>0</v>
      </c>
      <c r="L222" s="3" t="s">
        <v>995</v>
      </c>
      <c r="M222" s="1"/>
      <c r="N222" s="1"/>
    </row>
    <row r="223" spans="1:14" x14ac:dyDescent="0.2">
      <c r="A223" s="1"/>
      <c r="B223" s="82" t="s">
        <v>1033</v>
      </c>
      <c r="C223" s="318" t="s">
        <v>995</v>
      </c>
      <c r="D223" s="3"/>
      <c r="E223" s="3"/>
      <c r="F223" s="3"/>
      <c r="G223" s="1"/>
      <c r="H223" s="1"/>
      <c r="I223" s="1"/>
      <c r="J223" s="73" t="str">
        <f>IF(C223="x","Het juiste antwoord is:  A.","")</f>
        <v/>
      </c>
      <c r="K223" s="1"/>
      <c r="L223" s="3"/>
      <c r="M223" s="1"/>
      <c r="N223" s="1"/>
    </row>
    <row r="224" spans="1:14" x14ac:dyDescent="0.2">
      <c r="A224" s="1"/>
      <c r="B224" s="1" t="str">
        <f>IF(C223="x",J223,"")</f>
        <v/>
      </c>
      <c r="C224" s="1"/>
      <c r="D224" s="1"/>
      <c r="E224" s="1"/>
      <c r="F224" s="1"/>
      <c r="G224" s="1"/>
      <c r="H224" s="1"/>
      <c r="I224" s="1"/>
      <c r="J224" s="1"/>
      <c r="K224" s="1"/>
      <c r="L224" s="3"/>
      <c r="M224" s="1"/>
      <c r="N224" s="1"/>
    </row>
    <row r="225" spans="1:14" x14ac:dyDescent="0.2">
      <c r="A225" s="14"/>
      <c r="B225" s="14"/>
      <c r="C225" s="14"/>
      <c r="D225" s="14"/>
      <c r="E225" s="14"/>
      <c r="F225" s="14"/>
      <c r="G225" s="14"/>
      <c r="H225" s="14"/>
      <c r="I225" s="14"/>
      <c r="J225" s="1"/>
      <c r="K225" s="1"/>
      <c r="L225" s="1"/>
      <c r="M225" s="1"/>
      <c r="N225" s="1"/>
    </row>
    <row r="226" spans="1:14" x14ac:dyDescent="0.2">
      <c r="A226" s="1"/>
      <c r="B226" s="1"/>
      <c r="C226" s="1"/>
      <c r="D226" s="1"/>
      <c r="E226" s="1"/>
      <c r="F226" s="1"/>
      <c r="G226" s="1"/>
      <c r="H226" s="1"/>
      <c r="I226" s="1"/>
      <c r="J226" s="1"/>
      <c r="K226" s="1"/>
      <c r="L226" s="1"/>
      <c r="M226" s="1"/>
      <c r="N226" s="1"/>
    </row>
    <row r="227" spans="1:14" x14ac:dyDescent="0.2">
      <c r="A227" s="1" t="s">
        <v>1646</v>
      </c>
      <c r="B227" s="1" t="s">
        <v>193</v>
      </c>
      <c r="C227" s="1"/>
      <c r="D227" s="1"/>
      <c r="E227" s="1"/>
      <c r="F227" s="1"/>
      <c r="G227" s="1"/>
      <c r="H227" s="1"/>
      <c r="I227" s="1"/>
      <c r="J227" s="1"/>
      <c r="K227" s="1"/>
      <c r="L227" s="1"/>
      <c r="M227" s="1"/>
      <c r="N227" s="1"/>
    </row>
    <row r="228" spans="1:14" x14ac:dyDescent="0.2">
      <c r="A228" s="1"/>
      <c r="B228" s="1"/>
      <c r="C228" s="1"/>
      <c r="D228" s="1"/>
      <c r="E228" s="1"/>
      <c r="F228" s="1"/>
      <c r="G228" s="1"/>
      <c r="H228" s="1"/>
      <c r="I228" s="1"/>
      <c r="J228" s="1"/>
      <c r="K228" s="1"/>
      <c r="L228" s="1"/>
      <c r="M228" s="1"/>
      <c r="N228" s="1"/>
    </row>
    <row r="229" spans="1:14" ht="29.45" customHeight="1" thickBot="1" x14ac:dyDescent="0.25">
      <c r="A229" s="1"/>
      <c r="B229" s="103" t="s">
        <v>2579</v>
      </c>
      <c r="C229" s="1"/>
      <c r="D229" s="102" t="s">
        <v>446</v>
      </c>
      <c r="E229" s="102" t="s">
        <v>1623</v>
      </c>
      <c r="F229" s="526" t="s">
        <v>2119</v>
      </c>
      <c r="G229" s="527" t="s">
        <v>2120</v>
      </c>
      <c r="H229" s="1"/>
      <c r="I229" s="1"/>
      <c r="J229" s="5" t="str">
        <f>IF(D230="x","JUIST","")</f>
        <v/>
      </c>
      <c r="K229" s="5">
        <f>ABS(IF(J229="JUIST","1","0"))</f>
        <v>0</v>
      </c>
      <c r="L229" s="3">
        <v>1</v>
      </c>
      <c r="M229" s="1"/>
      <c r="N229" s="1"/>
    </row>
    <row r="230" spans="1:14" ht="13.5" thickTop="1" x14ac:dyDescent="0.2">
      <c r="A230" s="1"/>
      <c r="B230" t="s">
        <v>2580</v>
      </c>
      <c r="C230" s="1"/>
      <c r="D230" s="56" t="s">
        <v>995</v>
      </c>
      <c r="E230" s="56" t="s">
        <v>995</v>
      </c>
      <c r="F230" s="56" t="s">
        <v>995</v>
      </c>
      <c r="G230" s="56" t="s">
        <v>995</v>
      </c>
      <c r="H230" s="1"/>
      <c r="I230" s="1"/>
      <c r="J230" s="5" t="str">
        <f>IF(E230="x","FOUT","")</f>
        <v/>
      </c>
      <c r="K230" s="5">
        <f>ABS(IF(J230="JUIST","1","0"))</f>
        <v>0</v>
      </c>
      <c r="L230" s="1"/>
      <c r="M230" s="1"/>
      <c r="N230" s="1"/>
    </row>
    <row r="231" spans="1:14" x14ac:dyDescent="0.2">
      <c r="A231" s="1"/>
      <c r="B231" s="61" t="s">
        <v>2581</v>
      </c>
      <c r="C231" s="1"/>
      <c r="D231" s="3" t="s">
        <v>475</v>
      </c>
      <c r="E231" s="3" t="s">
        <v>476</v>
      </c>
      <c r="F231" s="3" t="s">
        <v>477</v>
      </c>
      <c r="G231" s="3" t="s">
        <v>478</v>
      </c>
      <c r="H231" s="1"/>
      <c r="I231" s="1"/>
      <c r="J231" s="5" t="str">
        <f>IF(F230="x","FOUT","")</f>
        <v/>
      </c>
      <c r="K231" s="5">
        <f>ABS(IF(J231="JUIST","1","0"))</f>
        <v>0</v>
      </c>
      <c r="L231" s="1"/>
      <c r="M231" s="1"/>
      <c r="N231" s="1"/>
    </row>
    <row r="232" spans="1:14" x14ac:dyDescent="0.2">
      <c r="A232" s="1"/>
      <c r="B232" s="1" t="s">
        <v>2582</v>
      </c>
      <c r="C232" s="1"/>
      <c r="D232" s="1"/>
      <c r="E232" s="1"/>
      <c r="F232" s="1"/>
      <c r="G232" s="1"/>
      <c r="H232" s="1"/>
      <c r="I232" s="1"/>
      <c r="J232" s="5" t="str">
        <f>IF(G230="x","FOUT","")</f>
        <v/>
      </c>
      <c r="K232" s="5">
        <f>ABS(IF(J232="JUIST","1","0"))</f>
        <v>0</v>
      </c>
      <c r="L232" s="1"/>
      <c r="M232" s="1"/>
      <c r="N232" s="1"/>
    </row>
    <row r="233" spans="1:14" x14ac:dyDescent="0.2">
      <c r="A233" s="1"/>
      <c r="C233" s="1"/>
      <c r="D233" s="3"/>
      <c r="E233" s="3"/>
      <c r="F233" s="3"/>
      <c r="G233" s="1"/>
      <c r="H233" s="1"/>
      <c r="I233" s="1"/>
      <c r="J233" s="73" t="str">
        <f>IF(C234="x","Het juiste antwoord is:  A.","")</f>
        <v/>
      </c>
      <c r="K233" s="1"/>
      <c r="L233" s="1"/>
      <c r="M233" s="1"/>
      <c r="N233" s="1"/>
    </row>
    <row r="234" spans="1:14" x14ac:dyDescent="0.2">
      <c r="A234" s="1"/>
      <c r="B234" s="82" t="s">
        <v>1033</v>
      </c>
      <c r="C234" s="318" t="s">
        <v>995</v>
      </c>
      <c r="D234" s="1"/>
      <c r="E234" s="1"/>
      <c r="F234" s="1"/>
      <c r="G234" s="1"/>
      <c r="H234" s="1"/>
      <c r="I234" s="1"/>
      <c r="J234" s="1"/>
      <c r="K234" s="1"/>
      <c r="L234" s="1"/>
      <c r="M234" s="1"/>
      <c r="N234" s="1"/>
    </row>
    <row r="235" spans="1:14" x14ac:dyDescent="0.2">
      <c r="A235" s="1"/>
      <c r="B235" s="1" t="str">
        <f>IF(C234="x",J233,"")</f>
        <v/>
      </c>
      <c r="C235" s="1"/>
      <c r="D235" s="1"/>
      <c r="E235" s="1"/>
      <c r="F235" s="1"/>
      <c r="G235" s="1"/>
      <c r="H235" s="1"/>
      <c r="I235" s="1"/>
      <c r="J235" s="1"/>
      <c r="K235" s="1"/>
      <c r="L235" s="1"/>
      <c r="M235" s="1"/>
      <c r="N235" s="1"/>
    </row>
    <row r="236" spans="1:14" x14ac:dyDescent="0.2">
      <c r="A236" s="14"/>
      <c r="B236" s="14"/>
      <c r="C236" s="14"/>
      <c r="D236" s="14"/>
      <c r="E236" s="14"/>
      <c r="F236" s="14"/>
      <c r="G236" s="14"/>
      <c r="H236" s="14"/>
      <c r="I236" s="14"/>
      <c r="J236" s="1"/>
      <c r="K236" s="1"/>
      <c r="L236" s="1"/>
      <c r="M236" s="1"/>
      <c r="N236" s="1"/>
    </row>
    <row r="237" spans="1:14" x14ac:dyDescent="0.2">
      <c r="A237" s="1"/>
      <c r="B237" s="1"/>
      <c r="C237" s="1"/>
      <c r="D237" s="1"/>
      <c r="E237" s="1"/>
      <c r="F237" s="1"/>
      <c r="G237" s="1"/>
      <c r="H237" s="1"/>
      <c r="I237" s="1"/>
      <c r="J237" s="1"/>
      <c r="K237" s="1"/>
      <c r="L237" s="1"/>
      <c r="M237" s="1"/>
      <c r="N237" s="1"/>
    </row>
    <row r="238" spans="1:14" x14ac:dyDescent="0.2">
      <c r="A238" s="1" t="s">
        <v>1659</v>
      </c>
      <c r="B238" s="1" t="s">
        <v>196</v>
      </c>
      <c r="C238" s="1"/>
      <c r="D238" s="1"/>
      <c r="E238" s="1"/>
      <c r="F238" s="1"/>
      <c r="G238" s="1"/>
      <c r="H238" s="1"/>
      <c r="I238" s="1"/>
      <c r="J238" s="1"/>
      <c r="K238" s="1"/>
      <c r="L238" s="1"/>
      <c r="M238" s="1"/>
      <c r="N238" s="1"/>
    </row>
    <row r="239" spans="1:14" ht="13.5" thickBot="1" x14ac:dyDescent="0.25">
      <c r="A239" s="1"/>
      <c r="B239" s="1"/>
      <c r="C239" s="92" t="s">
        <v>304</v>
      </c>
      <c r="D239" s="92" t="s">
        <v>306</v>
      </c>
      <c r="E239" s="395" t="str">
        <f>IF(C253="x",M239,"")</f>
        <v/>
      </c>
      <c r="F239" s="1"/>
      <c r="G239" s="1"/>
      <c r="H239" s="1"/>
      <c r="I239" s="1"/>
      <c r="J239" s="1"/>
      <c r="K239" s="1"/>
      <c r="L239" s="1"/>
      <c r="M239" s="1" t="s">
        <v>878</v>
      </c>
      <c r="N239" s="1"/>
    </row>
    <row r="240" spans="1:14" ht="13.5" thickTop="1" x14ac:dyDescent="0.2">
      <c r="A240" s="483" t="s">
        <v>999</v>
      </c>
      <c r="B240" s="54" t="s">
        <v>2583</v>
      </c>
      <c r="C240" s="407"/>
      <c r="D240" s="406"/>
      <c r="E240" s="1"/>
      <c r="F240" s="1"/>
      <c r="G240" s="1"/>
      <c r="H240" s="1"/>
      <c r="I240" s="1"/>
      <c r="J240" s="79"/>
      <c r="K240" s="79"/>
      <c r="L240" s="3"/>
      <c r="M240" s="1"/>
      <c r="N240" s="1"/>
    </row>
    <row r="241" spans="1:14" x14ac:dyDescent="0.2">
      <c r="A241" s="64" t="s">
        <v>995</v>
      </c>
      <c r="B241" s="55" t="s">
        <v>194</v>
      </c>
      <c r="C241" s="10" t="s">
        <v>995</v>
      </c>
      <c r="D241" s="10" t="s">
        <v>995</v>
      </c>
      <c r="E241" s="3" t="str">
        <f>IF(C253="x",M241,"")</f>
        <v/>
      </c>
      <c r="F241" s="1"/>
      <c r="G241" s="1"/>
      <c r="H241" s="1"/>
      <c r="I241" s="1"/>
      <c r="J241" s="5" t="str">
        <f>IF(C241="x","JUIST","")</f>
        <v/>
      </c>
      <c r="K241" s="5">
        <f t="shared" ref="K241:K251" si="3">ABS(IF(J241="JUIST","0,5","0"))</f>
        <v>0</v>
      </c>
      <c r="L241" s="3">
        <v>0.5</v>
      </c>
      <c r="M241" s="1" t="s">
        <v>304</v>
      </c>
      <c r="N241" s="1"/>
    </row>
    <row r="242" spans="1:14" x14ac:dyDescent="0.2">
      <c r="A242" s="54" t="s">
        <v>1000</v>
      </c>
      <c r="B242" s="54" t="s">
        <v>195</v>
      </c>
      <c r="C242" s="10"/>
      <c r="D242" s="10" t="s">
        <v>995</v>
      </c>
      <c r="E242" s="3" t="str">
        <f>IF(C253="x",M242,"")</f>
        <v/>
      </c>
      <c r="F242" s="1"/>
      <c r="G242" s="1"/>
      <c r="H242" s="1"/>
      <c r="I242" s="1"/>
      <c r="J242" s="5" t="str">
        <f>IF(D242="x","JUIST","")</f>
        <v/>
      </c>
      <c r="K242" s="5">
        <f t="shared" si="3"/>
        <v>0</v>
      </c>
      <c r="L242" s="3">
        <v>0.5</v>
      </c>
      <c r="M242" s="1" t="s">
        <v>306</v>
      </c>
      <c r="N242" s="1"/>
    </row>
    <row r="243" spans="1:14" x14ac:dyDescent="0.2">
      <c r="A243" s="483" t="s">
        <v>1001</v>
      </c>
      <c r="B243" s="54" t="s">
        <v>197</v>
      </c>
      <c r="C243" s="407"/>
      <c r="D243" s="406"/>
      <c r="E243" s="1"/>
      <c r="F243" s="1"/>
      <c r="G243" s="1"/>
      <c r="H243" s="1"/>
      <c r="I243" s="1"/>
      <c r="J243" s="1"/>
      <c r="K243" s="1"/>
      <c r="L243" s="1"/>
      <c r="M243" s="1"/>
      <c r="N243" s="1"/>
    </row>
    <row r="244" spans="1:14" x14ac:dyDescent="0.2">
      <c r="A244" s="64" t="s">
        <v>995</v>
      </c>
      <c r="B244" s="55" t="s">
        <v>198</v>
      </c>
      <c r="C244" s="10"/>
      <c r="D244" s="10" t="s">
        <v>995</v>
      </c>
      <c r="E244" s="3" t="str">
        <f>IF(C253="x",M244,"")</f>
        <v/>
      </c>
      <c r="F244" s="1"/>
      <c r="G244" s="171" t="s">
        <v>213</v>
      </c>
      <c r="H244" s="1"/>
      <c r="I244" s="1"/>
      <c r="J244" s="5" t="str">
        <f>IF(D244="x","JUIST","")</f>
        <v/>
      </c>
      <c r="K244" s="5">
        <f t="shared" si="3"/>
        <v>0</v>
      </c>
      <c r="L244" s="3">
        <v>0.5</v>
      </c>
      <c r="M244" s="1" t="s">
        <v>306</v>
      </c>
      <c r="N244" s="1"/>
    </row>
    <row r="245" spans="1:14" x14ac:dyDescent="0.2">
      <c r="A245" s="54" t="s">
        <v>1002</v>
      </c>
      <c r="B245" s="483" t="s">
        <v>2735</v>
      </c>
      <c r="C245" s="10" t="s">
        <v>995</v>
      </c>
      <c r="D245" s="10" t="s">
        <v>995</v>
      </c>
      <c r="E245" s="3" t="str">
        <f>IF(C253="x",M245,"")</f>
        <v/>
      </c>
      <c r="F245" s="1"/>
      <c r="G245" s="1"/>
      <c r="H245" s="1"/>
      <c r="I245" s="1"/>
      <c r="J245" s="5" t="str">
        <f>IF(C245="x","JUIST","")</f>
        <v/>
      </c>
      <c r="K245" s="5">
        <f t="shared" si="3"/>
        <v>0</v>
      </c>
      <c r="L245" s="3">
        <v>0.5</v>
      </c>
      <c r="M245" s="1" t="s">
        <v>304</v>
      </c>
      <c r="N245" s="1"/>
    </row>
    <row r="246" spans="1:14" x14ac:dyDescent="0.2">
      <c r="A246" s="483" t="s">
        <v>863</v>
      </c>
      <c r="B246" s="483" t="s">
        <v>2736</v>
      </c>
      <c r="C246" s="407"/>
      <c r="D246" s="406"/>
      <c r="E246" s="1"/>
      <c r="F246" s="1"/>
      <c r="G246" s="1"/>
      <c r="H246" s="1"/>
      <c r="I246" s="1"/>
      <c r="J246" s="1"/>
      <c r="K246" s="1"/>
      <c r="L246" s="1"/>
      <c r="M246" s="1"/>
      <c r="N246" s="1"/>
    </row>
    <row r="247" spans="1:14" x14ac:dyDescent="0.2">
      <c r="A247" s="64" t="s">
        <v>995</v>
      </c>
      <c r="B247" s="55" t="s">
        <v>2584</v>
      </c>
      <c r="C247" s="10"/>
      <c r="D247" s="10" t="s">
        <v>995</v>
      </c>
      <c r="E247" s="3" t="str">
        <f>IF(C253="x",M247,"")</f>
        <v/>
      </c>
      <c r="F247" s="1"/>
      <c r="G247" s="1"/>
      <c r="H247" s="1"/>
      <c r="I247" s="1"/>
      <c r="J247" s="5" t="str">
        <f>IF(D247="x","JUIST","")</f>
        <v/>
      </c>
      <c r="K247" s="5">
        <f t="shared" si="3"/>
        <v>0</v>
      </c>
      <c r="L247" s="3">
        <v>0.5</v>
      </c>
      <c r="M247" s="1" t="s">
        <v>306</v>
      </c>
      <c r="N247" s="1"/>
    </row>
    <row r="248" spans="1:14" x14ac:dyDescent="0.2">
      <c r="A248" s="483" t="s">
        <v>1080</v>
      </c>
      <c r="B248" s="54" t="s">
        <v>2585</v>
      </c>
      <c r="C248" s="407"/>
      <c r="D248" s="406"/>
      <c r="E248" s="1"/>
      <c r="F248" s="1"/>
      <c r="G248" s="1"/>
      <c r="H248" s="1"/>
      <c r="I248" s="1"/>
      <c r="J248" s="79"/>
      <c r="K248" s="79"/>
      <c r="L248" s="3"/>
      <c r="M248" s="1"/>
      <c r="N248" s="1"/>
    </row>
    <row r="249" spans="1:14" x14ac:dyDescent="0.2">
      <c r="A249" s="64" t="s">
        <v>995</v>
      </c>
      <c r="B249" s="64" t="s">
        <v>2737</v>
      </c>
      <c r="C249" s="10" t="s">
        <v>995</v>
      </c>
      <c r="D249" s="10" t="s">
        <v>995</v>
      </c>
      <c r="E249" s="3" t="str">
        <f>IF(C253="x",M249,"")</f>
        <v/>
      </c>
      <c r="F249" s="1"/>
      <c r="G249" s="1"/>
      <c r="H249" s="1"/>
      <c r="I249" s="1"/>
      <c r="J249" s="5" t="str">
        <f>IF(C249="x","JUIST","")</f>
        <v/>
      </c>
      <c r="K249" s="5">
        <f t="shared" si="3"/>
        <v>0</v>
      </c>
      <c r="L249" s="3">
        <v>0.5</v>
      </c>
      <c r="M249" s="1" t="s">
        <v>304</v>
      </c>
      <c r="N249" s="1"/>
    </row>
    <row r="250" spans="1:14" x14ac:dyDescent="0.2">
      <c r="A250" s="483" t="s">
        <v>1082</v>
      </c>
      <c r="B250" s="483" t="s">
        <v>2738</v>
      </c>
      <c r="C250" s="407"/>
      <c r="D250" s="406"/>
      <c r="E250" s="1"/>
      <c r="F250" s="1"/>
      <c r="G250" s="1"/>
      <c r="H250" s="1"/>
      <c r="I250" s="1"/>
      <c r="J250" s="79"/>
      <c r="K250" s="79"/>
      <c r="L250" s="3"/>
      <c r="M250" s="1"/>
      <c r="N250" s="1"/>
    </row>
    <row r="251" spans="1:14" x14ac:dyDescent="0.2">
      <c r="A251" s="484" t="s">
        <v>995</v>
      </c>
      <c r="B251" s="28" t="s">
        <v>199</v>
      </c>
      <c r="C251" s="10" t="s">
        <v>995</v>
      </c>
      <c r="D251" s="10" t="s">
        <v>995</v>
      </c>
      <c r="E251" s="3" t="str">
        <f>IF(C253="x",M251,"")</f>
        <v/>
      </c>
      <c r="F251" s="1"/>
      <c r="G251" s="1"/>
      <c r="H251" s="1"/>
      <c r="I251" s="1"/>
      <c r="J251" s="5" t="str">
        <f>IF(C251="x","JUIST","")</f>
        <v/>
      </c>
      <c r="K251" s="5">
        <f t="shared" si="3"/>
        <v>0</v>
      </c>
      <c r="L251" s="3">
        <v>0.5</v>
      </c>
      <c r="M251" s="1" t="s">
        <v>304</v>
      </c>
      <c r="N251" s="1"/>
    </row>
    <row r="252" spans="1:14" x14ac:dyDescent="0.2">
      <c r="A252" s="1"/>
      <c r="B252" s="1"/>
      <c r="C252" s="1"/>
      <c r="D252" s="1"/>
      <c r="E252" s="1"/>
      <c r="F252" s="1"/>
      <c r="G252" s="1"/>
      <c r="H252" s="1"/>
      <c r="I252" s="1"/>
      <c r="J252" s="1"/>
      <c r="K252" s="1"/>
      <c r="L252" s="1"/>
      <c r="M252" s="1"/>
      <c r="N252" s="1"/>
    </row>
    <row r="253" spans="1:14" x14ac:dyDescent="0.2">
      <c r="A253" s="1"/>
      <c r="B253" s="82" t="s">
        <v>1033</v>
      </c>
      <c r="C253" s="318" t="s">
        <v>995</v>
      </c>
      <c r="D253" s="1"/>
      <c r="E253" s="1"/>
      <c r="F253" s="1"/>
      <c r="G253" s="1"/>
      <c r="H253" s="1"/>
      <c r="I253" s="1"/>
      <c r="J253" s="1"/>
      <c r="K253" s="1"/>
      <c r="L253" s="1"/>
      <c r="M253" s="1"/>
      <c r="N253" s="1"/>
    </row>
    <row r="254" spans="1:14" x14ac:dyDescent="0.2">
      <c r="A254" s="1"/>
      <c r="B254" s="1" t="s">
        <v>995</v>
      </c>
      <c r="C254" s="1"/>
      <c r="D254" s="1"/>
      <c r="E254" s="1"/>
      <c r="F254" s="1"/>
      <c r="G254" s="1"/>
      <c r="H254" s="1"/>
      <c r="I254" s="1"/>
      <c r="J254" s="1"/>
      <c r="K254" s="1"/>
      <c r="L254" s="1"/>
      <c r="M254" s="1"/>
      <c r="N254" s="1"/>
    </row>
    <row r="255" spans="1:14" x14ac:dyDescent="0.2">
      <c r="A255" s="14"/>
      <c r="B255" s="14"/>
      <c r="C255" s="14"/>
      <c r="D255" s="14"/>
      <c r="E255" s="14"/>
      <c r="F255" s="14"/>
      <c r="G255" s="14"/>
      <c r="H255" s="14"/>
      <c r="I255" s="14"/>
      <c r="J255" s="1"/>
      <c r="K255" s="1"/>
      <c r="L255" s="1"/>
      <c r="M255" s="1"/>
      <c r="N255" s="1"/>
    </row>
    <row r="256" spans="1:14" x14ac:dyDescent="0.2">
      <c r="A256" s="1"/>
      <c r="B256" s="1"/>
      <c r="C256" s="1"/>
      <c r="D256" s="1"/>
      <c r="E256" s="1"/>
      <c r="F256" s="1"/>
      <c r="G256" s="1"/>
      <c r="H256" s="1"/>
      <c r="I256" s="1"/>
      <c r="J256" s="1"/>
      <c r="K256" s="1"/>
      <c r="L256" s="1"/>
      <c r="M256" s="1"/>
      <c r="N256" s="1"/>
    </row>
    <row r="257" spans="1:14" x14ac:dyDescent="0.2">
      <c r="A257" s="1" t="s">
        <v>885</v>
      </c>
      <c r="B257" s="1" t="s">
        <v>2586</v>
      </c>
      <c r="C257" s="1"/>
      <c r="D257" s="1"/>
      <c r="E257" s="1"/>
      <c r="F257" s="1"/>
      <c r="G257" s="1"/>
      <c r="H257" s="1"/>
      <c r="I257" s="1"/>
      <c r="J257" s="1"/>
      <c r="K257" s="1"/>
      <c r="L257" s="1"/>
      <c r="M257" s="1"/>
      <c r="N257" s="1"/>
    </row>
    <row r="258" spans="1:14" x14ac:dyDescent="0.2">
      <c r="A258" s="1"/>
      <c r="B258" s="1" t="s">
        <v>200</v>
      </c>
      <c r="C258" s="1"/>
      <c r="D258" s="1"/>
      <c r="E258" s="1"/>
      <c r="F258" s="1"/>
      <c r="G258" s="1"/>
      <c r="H258" s="1"/>
      <c r="I258" s="1"/>
      <c r="J258" s="1"/>
      <c r="K258" s="1"/>
      <c r="L258" s="1"/>
      <c r="M258" s="1"/>
      <c r="N258" s="1"/>
    </row>
    <row r="259" spans="1:14" x14ac:dyDescent="0.2">
      <c r="A259" s="1"/>
      <c r="B259" s="1"/>
      <c r="C259" s="1"/>
      <c r="D259" s="1"/>
      <c r="E259" s="1"/>
      <c r="F259" s="1"/>
      <c r="G259" s="1"/>
      <c r="H259" s="1"/>
      <c r="I259" s="1"/>
      <c r="J259" s="1"/>
      <c r="K259" s="1"/>
      <c r="L259" s="1"/>
      <c r="M259" s="1"/>
      <c r="N259" s="1"/>
    </row>
    <row r="260" spans="1:14" x14ac:dyDescent="0.2">
      <c r="A260" s="483" t="s">
        <v>999</v>
      </c>
      <c r="B260" s="54" t="s">
        <v>201</v>
      </c>
      <c r="C260" s="5" t="s">
        <v>1601</v>
      </c>
      <c r="D260" s="5" t="s">
        <v>1602</v>
      </c>
      <c r="E260" s="5" t="s">
        <v>203</v>
      </c>
      <c r="F260" s="5" t="s">
        <v>204</v>
      </c>
      <c r="G260" s="5" t="s">
        <v>205</v>
      </c>
      <c r="H260" s="1"/>
      <c r="I260" s="1"/>
      <c r="J260" s="1"/>
      <c r="K260" s="1"/>
      <c r="L260" s="1"/>
      <c r="M260" s="1"/>
      <c r="N260" s="1"/>
    </row>
    <row r="261" spans="1:14" x14ac:dyDescent="0.2">
      <c r="A261" s="64" t="s">
        <v>995</v>
      </c>
      <c r="B261" s="55" t="s">
        <v>202</v>
      </c>
      <c r="C261" s="318" t="s">
        <v>995</v>
      </c>
      <c r="D261" s="318" t="s">
        <v>995</v>
      </c>
      <c r="E261" s="318" t="s">
        <v>995</v>
      </c>
      <c r="F261" s="318" t="s">
        <v>995</v>
      </c>
      <c r="G261" s="318" t="s">
        <v>995</v>
      </c>
      <c r="H261" s="1"/>
      <c r="I261" s="1"/>
      <c r="J261" s="5" t="str">
        <f>IF(D261="x","JUIST","")</f>
        <v/>
      </c>
      <c r="K261" s="5">
        <f>ABS(IF(J261="JUIST","0,5","0"))</f>
        <v>0</v>
      </c>
      <c r="L261" s="3">
        <v>0.5</v>
      </c>
      <c r="M261" s="1" t="s">
        <v>210</v>
      </c>
      <c r="N261" s="1"/>
    </row>
    <row r="262" spans="1:14" x14ac:dyDescent="0.2">
      <c r="A262" s="483" t="s">
        <v>1000</v>
      </c>
      <c r="B262" s="54" t="s">
        <v>208</v>
      </c>
      <c r="C262" s="407"/>
      <c r="D262" s="407"/>
      <c r="E262" s="407"/>
      <c r="F262" s="407"/>
      <c r="G262" s="407"/>
      <c r="H262" s="1"/>
      <c r="I262" s="1"/>
      <c r="J262" s="1"/>
      <c r="K262" s="1"/>
      <c r="M262" s="1"/>
      <c r="N262" s="1"/>
    </row>
    <row r="263" spans="1:14" x14ac:dyDescent="0.2">
      <c r="A263" s="64" t="s">
        <v>995</v>
      </c>
      <c r="B263" s="55" t="s">
        <v>209</v>
      </c>
      <c r="C263" s="10" t="s">
        <v>995</v>
      </c>
      <c r="D263" s="318" t="s">
        <v>995</v>
      </c>
      <c r="E263" s="318" t="s">
        <v>995</v>
      </c>
      <c r="F263" s="318" t="s">
        <v>995</v>
      </c>
      <c r="G263" s="318" t="s">
        <v>995</v>
      </c>
      <c r="H263" s="1"/>
      <c r="I263" s="1"/>
      <c r="J263" s="5" t="str">
        <f>IF(F263="x","JUIST","")</f>
        <v/>
      </c>
      <c r="K263" s="5">
        <f>ABS(IF(J263="JUIST","0,5","0"))</f>
        <v>0</v>
      </c>
      <c r="L263" s="3">
        <v>0.5</v>
      </c>
      <c r="M263" s="1" t="s">
        <v>211</v>
      </c>
      <c r="N263" s="1"/>
    </row>
    <row r="264" spans="1:14" x14ac:dyDescent="0.2">
      <c r="A264" s="483" t="s">
        <v>1001</v>
      </c>
      <c r="B264" s="54" t="s">
        <v>206</v>
      </c>
      <c r="C264" s="407"/>
      <c r="D264" s="407"/>
      <c r="E264" s="407"/>
      <c r="F264" s="407"/>
      <c r="G264" s="407"/>
      <c r="H264" s="1"/>
      <c r="I264" s="1"/>
      <c r="J264" s="1"/>
      <c r="K264" s="1"/>
      <c r="M264" s="1"/>
      <c r="N264" s="1"/>
    </row>
    <row r="265" spans="1:14" x14ac:dyDescent="0.2">
      <c r="A265" s="484" t="s">
        <v>995</v>
      </c>
      <c r="B265" s="28" t="s">
        <v>207</v>
      </c>
      <c r="C265" s="318" t="s">
        <v>995</v>
      </c>
      <c r="D265" s="318" t="s">
        <v>995</v>
      </c>
      <c r="E265" s="318" t="s">
        <v>995</v>
      </c>
      <c r="F265" s="318" t="s">
        <v>995</v>
      </c>
      <c r="G265" s="318" t="s">
        <v>995</v>
      </c>
      <c r="H265" s="1"/>
      <c r="I265" s="1"/>
      <c r="J265" s="5" t="str">
        <f>IF(E265="x","JUIST","")</f>
        <v/>
      </c>
      <c r="K265" s="5">
        <f>ABS(IF(J265="JUIST","0,5","0"))</f>
        <v>0</v>
      </c>
      <c r="L265" s="3">
        <v>0.5</v>
      </c>
      <c r="M265" s="1" t="s">
        <v>212</v>
      </c>
      <c r="N265" s="1"/>
    </row>
    <row r="266" spans="1:14" x14ac:dyDescent="0.2">
      <c r="A266" s="1"/>
      <c r="B266" s="1"/>
      <c r="C266" s="1"/>
      <c r="D266" s="1"/>
      <c r="E266" s="1"/>
      <c r="F266" s="1"/>
      <c r="G266" s="1"/>
      <c r="H266" s="1"/>
      <c r="I266" s="1"/>
      <c r="J266" s="6" t="str">
        <f>IF(C267="x","A=10&gt;, B=50 tot 100, C=10 tot 50","")</f>
        <v/>
      </c>
      <c r="K266" s="1"/>
      <c r="L266" s="1"/>
      <c r="M266" s="1"/>
      <c r="N266" s="1"/>
    </row>
    <row r="267" spans="1:14" x14ac:dyDescent="0.2">
      <c r="A267" s="1"/>
      <c r="B267" s="82" t="s">
        <v>1033</v>
      </c>
      <c r="C267" s="318" t="s">
        <v>995</v>
      </c>
      <c r="D267" s="1"/>
      <c r="E267" s="1" t="str">
        <f>IF(C267="x",J266,"")</f>
        <v/>
      </c>
      <c r="F267" s="1"/>
      <c r="G267" s="1"/>
      <c r="H267" s="1"/>
      <c r="I267" s="1"/>
      <c r="J267" s="1"/>
      <c r="K267" s="1"/>
      <c r="L267" s="1"/>
      <c r="M267" s="1"/>
      <c r="N267" s="1"/>
    </row>
    <row r="268" spans="1:14" x14ac:dyDescent="0.2">
      <c r="A268" s="1"/>
      <c r="B268" s="1"/>
      <c r="C268" s="1"/>
      <c r="D268" s="1"/>
      <c r="E268" s="1"/>
      <c r="F268" s="1"/>
      <c r="G268" s="1"/>
      <c r="H268" s="1"/>
      <c r="I268" s="1"/>
      <c r="J268" s="1"/>
      <c r="K268" s="1"/>
      <c r="L268" s="1"/>
      <c r="M268" s="1"/>
      <c r="N268" s="1"/>
    </row>
    <row r="269" spans="1:14" x14ac:dyDescent="0.2">
      <c r="A269" s="14"/>
      <c r="B269" s="14"/>
      <c r="C269" s="14"/>
      <c r="D269" s="14"/>
      <c r="E269" s="14"/>
      <c r="F269" s="14"/>
      <c r="G269" s="14"/>
      <c r="H269" s="14"/>
      <c r="I269" s="14"/>
      <c r="J269" s="1"/>
      <c r="K269" s="1"/>
      <c r="L269" s="1"/>
      <c r="M269" s="1"/>
      <c r="N269" s="1"/>
    </row>
    <row r="270" spans="1:14" x14ac:dyDescent="0.2">
      <c r="A270" s="1"/>
      <c r="B270" s="1"/>
      <c r="C270" s="1"/>
      <c r="D270" s="1"/>
      <c r="E270" s="1"/>
      <c r="F270" s="1"/>
      <c r="G270" s="1"/>
      <c r="H270" s="1"/>
      <c r="I270" s="1"/>
      <c r="J270" s="1"/>
      <c r="K270" s="1"/>
      <c r="L270" s="1"/>
      <c r="M270" s="1"/>
      <c r="N270" s="1"/>
    </row>
    <row r="271" spans="1:14" x14ac:dyDescent="0.2">
      <c r="A271" s="1" t="s">
        <v>897</v>
      </c>
      <c r="B271" s="1" t="s">
        <v>2587</v>
      </c>
      <c r="C271" s="1"/>
      <c r="D271" s="1"/>
      <c r="E271" s="1"/>
      <c r="F271" s="1"/>
      <c r="G271" s="1"/>
      <c r="H271" s="1"/>
      <c r="I271" s="1"/>
      <c r="J271" s="1"/>
      <c r="K271" s="1"/>
      <c r="L271" s="1"/>
      <c r="M271" s="1"/>
      <c r="N271" s="1"/>
    </row>
    <row r="272" spans="1:14" ht="13.5" thickBot="1" x14ac:dyDescent="0.25">
      <c r="A272" s="1"/>
      <c r="B272" s="1"/>
      <c r="C272" s="92" t="s">
        <v>304</v>
      </c>
      <c r="D272" s="92" t="s">
        <v>306</v>
      </c>
      <c r="E272" s="395" t="str">
        <f>IF(C288="x",M272,"")</f>
        <v/>
      </c>
      <c r="F272" s="1"/>
      <c r="G272" s="1"/>
      <c r="H272" s="1"/>
      <c r="I272" s="1"/>
      <c r="J272" s="1"/>
      <c r="K272" s="1"/>
      <c r="L272" s="1"/>
      <c r="M272" s="1" t="s">
        <v>878</v>
      </c>
      <c r="N272" s="1"/>
    </row>
    <row r="273" spans="1:14" ht="13.5" thickTop="1" x14ac:dyDescent="0.2">
      <c r="A273" s="483" t="s">
        <v>999</v>
      </c>
      <c r="B273" s="54" t="s">
        <v>2588</v>
      </c>
      <c r="C273" s="407"/>
      <c r="D273" s="406"/>
      <c r="E273" s="1"/>
      <c r="F273" s="1"/>
      <c r="G273" s="1"/>
      <c r="H273" s="1"/>
      <c r="I273" s="1"/>
      <c r="J273" s="79"/>
      <c r="K273" s="79"/>
      <c r="L273" s="3"/>
      <c r="M273" s="1"/>
      <c r="N273" s="1"/>
    </row>
    <row r="274" spans="1:14" x14ac:dyDescent="0.2">
      <c r="A274" s="484" t="s">
        <v>995</v>
      </c>
      <c r="B274" s="28" t="s">
        <v>214</v>
      </c>
      <c r="C274" s="10" t="s">
        <v>995</v>
      </c>
      <c r="D274" s="10" t="s">
        <v>995</v>
      </c>
      <c r="E274" s="3" t="str">
        <f>IF(C288="x",M274,"")</f>
        <v/>
      </c>
      <c r="F274" s="1"/>
      <c r="G274" s="1"/>
      <c r="H274" s="1"/>
      <c r="I274" s="1"/>
      <c r="J274" s="5" t="str">
        <f>IF(C274="x","JUIST","")</f>
        <v/>
      </c>
      <c r="K274" s="5">
        <f>ABS(IF(J274="JUIST","0,5","0"))</f>
        <v>0</v>
      </c>
      <c r="L274" s="3">
        <v>0.5</v>
      </c>
      <c r="M274" s="1" t="s">
        <v>304</v>
      </c>
      <c r="N274" s="1"/>
    </row>
    <row r="275" spans="1:14" x14ac:dyDescent="0.2">
      <c r="A275" s="483" t="s">
        <v>1000</v>
      </c>
      <c r="B275" s="54" t="s">
        <v>215</v>
      </c>
      <c r="C275" s="407"/>
      <c r="D275" s="406"/>
      <c r="E275" s="1"/>
      <c r="F275" s="1"/>
      <c r="G275" s="1"/>
      <c r="H275" s="1"/>
      <c r="I275" s="1"/>
      <c r="J275" s="1"/>
      <c r="K275" s="1"/>
      <c r="L275" s="1"/>
      <c r="M275" s="1"/>
      <c r="N275" s="1"/>
    </row>
    <row r="276" spans="1:14" x14ac:dyDescent="0.2">
      <c r="A276" s="55"/>
      <c r="B276" s="55" t="s">
        <v>216</v>
      </c>
      <c r="C276" s="407"/>
      <c r="D276" s="406"/>
      <c r="E276" s="1"/>
      <c r="F276" s="1"/>
      <c r="G276" s="1"/>
      <c r="H276" s="1"/>
      <c r="I276" s="1"/>
      <c r="J276" s="1"/>
      <c r="K276" s="1"/>
      <c r="L276" s="1"/>
      <c r="M276" s="1"/>
      <c r="N276" s="1"/>
    </row>
    <row r="277" spans="1:14" x14ac:dyDescent="0.2">
      <c r="A277" s="484" t="s">
        <v>995</v>
      </c>
      <c r="B277" s="28" t="s">
        <v>217</v>
      </c>
      <c r="C277" s="10" t="s">
        <v>995</v>
      </c>
      <c r="D277" s="10" t="s">
        <v>995</v>
      </c>
      <c r="E277" s="3" t="str">
        <f>IF(C288="x",M277,"")</f>
        <v/>
      </c>
      <c r="F277" s="1"/>
      <c r="G277" s="1"/>
      <c r="H277" s="1"/>
      <c r="I277" s="1"/>
      <c r="J277" s="5" t="str">
        <f>IF(C277="x","JUIST","")</f>
        <v/>
      </c>
      <c r="K277" s="5">
        <f>ABS(IF(J277="JUIST","0,5","0"))</f>
        <v>0</v>
      </c>
      <c r="L277" s="3">
        <v>0.5</v>
      </c>
      <c r="M277" s="1" t="s">
        <v>304</v>
      </c>
      <c r="N277" s="1"/>
    </row>
    <row r="278" spans="1:14" x14ac:dyDescent="0.2">
      <c r="A278" s="483" t="s">
        <v>1001</v>
      </c>
      <c r="B278" s="54" t="s">
        <v>218</v>
      </c>
      <c r="C278" s="407"/>
      <c r="D278" s="406"/>
      <c r="E278" s="1"/>
      <c r="F278" s="1"/>
      <c r="G278" s="1"/>
      <c r="H278" s="1"/>
      <c r="I278" s="1"/>
      <c r="J278" s="1"/>
      <c r="K278" s="1"/>
      <c r="L278" s="1"/>
      <c r="M278" s="1"/>
      <c r="N278" s="1"/>
    </row>
    <row r="279" spans="1:14" x14ac:dyDescent="0.2">
      <c r="A279" s="484" t="s">
        <v>995</v>
      </c>
      <c r="B279" s="28" t="s">
        <v>219</v>
      </c>
      <c r="C279" s="10"/>
      <c r="D279" s="10" t="s">
        <v>995</v>
      </c>
      <c r="E279" s="3" t="str">
        <f>IF(C288="x",M279,"")</f>
        <v/>
      </c>
      <c r="F279" s="1"/>
      <c r="G279" s="1"/>
      <c r="H279" s="1"/>
      <c r="I279" s="1"/>
      <c r="J279" s="5" t="str">
        <f>IF(D279="x","JUIST","")</f>
        <v/>
      </c>
      <c r="K279" s="5">
        <f>ABS(IF(J279="JUIST","0,5","0"))</f>
        <v>0</v>
      </c>
      <c r="L279" s="3">
        <v>0.5</v>
      </c>
      <c r="M279" s="1" t="s">
        <v>306</v>
      </c>
      <c r="N279" s="1"/>
    </row>
    <row r="280" spans="1:14" x14ac:dyDescent="0.2">
      <c r="A280" s="483" t="s">
        <v>1002</v>
      </c>
      <c r="B280" s="54" t="s">
        <v>220</v>
      </c>
      <c r="C280" s="407"/>
      <c r="D280" s="406"/>
      <c r="E280" s="1"/>
      <c r="F280" s="1"/>
      <c r="G280" s="1"/>
      <c r="H280" s="1"/>
      <c r="I280" s="1"/>
      <c r="J280" s="1"/>
      <c r="K280" s="1"/>
      <c r="L280" s="1"/>
      <c r="M280" s="1"/>
      <c r="N280" s="1"/>
    </row>
    <row r="281" spans="1:14" x14ac:dyDescent="0.2">
      <c r="A281" s="484" t="s">
        <v>995</v>
      </c>
      <c r="B281" s="28" t="s">
        <v>2589</v>
      </c>
      <c r="C281" s="10" t="s">
        <v>995</v>
      </c>
      <c r="D281" s="10" t="s">
        <v>995</v>
      </c>
      <c r="E281" s="3" t="str">
        <f>IF(C288="x",M281,"")</f>
        <v/>
      </c>
      <c r="F281" s="1"/>
      <c r="G281" s="1"/>
      <c r="H281" s="1"/>
      <c r="I281" s="1"/>
      <c r="J281" s="5" t="str">
        <f>IF(C281="x","JUIST","")</f>
        <v/>
      </c>
      <c r="K281" s="5">
        <f>ABS(IF(J281="JUIST","0,5","0"))</f>
        <v>0</v>
      </c>
      <c r="L281" s="3">
        <v>0.5</v>
      </c>
      <c r="M281" s="1" t="s">
        <v>304</v>
      </c>
      <c r="N281" s="1"/>
    </row>
    <row r="282" spans="1:14" x14ac:dyDescent="0.2">
      <c r="A282" s="6" t="s">
        <v>863</v>
      </c>
      <c r="B282" s="6" t="s">
        <v>221</v>
      </c>
      <c r="C282" s="10"/>
      <c r="D282" s="10" t="s">
        <v>995</v>
      </c>
      <c r="E282" s="3" t="str">
        <f>IF(C288="x",M282,"")</f>
        <v/>
      </c>
      <c r="F282" s="1"/>
      <c r="G282" s="1"/>
      <c r="H282" s="1"/>
      <c r="I282" s="1"/>
      <c r="J282" s="5" t="str">
        <f>IF(D282="x","JUIST","")</f>
        <v/>
      </c>
      <c r="K282" s="5">
        <f>ABS(IF(J282="JUIST","0,5","0"))</f>
        <v>0</v>
      </c>
      <c r="L282" s="3">
        <v>0.5</v>
      </c>
      <c r="M282" s="1" t="s">
        <v>306</v>
      </c>
      <c r="N282" s="1"/>
    </row>
    <row r="283" spans="1:14" x14ac:dyDescent="0.2">
      <c r="A283" s="483" t="s">
        <v>1080</v>
      </c>
      <c r="B283" s="54" t="s">
        <v>222</v>
      </c>
      <c r="C283" s="407"/>
      <c r="D283" s="406"/>
      <c r="E283" s="1"/>
      <c r="F283" s="1"/>
      <c r="G283" s="1"/>
      <c r="H283" s="1"/>
      <c r="I283" s="1"/>
      <c r="J283" s="1"/>
      <c r="K283" s="1"/>
      <c r="L283" s="1"/>
      <c r="M283" s="1"/>
      <c r="N283" s="1"/>
    </row>
    <row r="284" spans="1:14" x14ac:dyDescent="0.2">
      <c r="A284" s="484" t="s">
        <v>995</v>
      </c>
      <c r="B284" s="28" t="s">
        <v>223</v>
      </c>
      <c r="C284" s="10"/>
      <c r="D284" s="10" t="s">
        <v>995</v>
      </c>
      <c r="E284" s="3" t="str">
        <f>IF(C288="x",M284,"")</f>
        <v/>
      </c>
      <c r="F284" s="1"/>
      <c r="G284" s="1"/>
      <c r="H284" s="1"/>
      <c r="I284" s="1"/>
      <c r="J284" s="5" t="str">
        <f>IF(D284="x","JUIST","")</f>
        <v/>
      </c>
      <c r="K284" s="5">
        <f>ABS(IF(J284="JUIST","0,5","0"))</f>
        <v>0</v>
      </c>
      <c r="L284" s="3">
        <v>0.5</v>
      </c>
      <c r="M284" s="1" t="s">
        <v>306</v>
      </c>
      <c r="N284" s="1"/>
    </row>
    <row r="285" spans="1:14" x14ac:dyDescent="0.2">
      <c r="A285" s="483" t="s">
        <v>1082</v>
      </c>
      <c r="B285" s="54" t="s">
        <v>224</v>
      </c>
      <c r="C285" s="407"/>
      <c r="D285" s="406"/>
      <c r="E285" s="1"/>
      <c r="F285" s="1"/>
      <c r="G285" s="1"/>
      <c r="H285" s="1"/>
      <c r="I285" s="1"/>
      <c r="J285" s="1"/>
      <c r="K285" s="1"/>
      <c r="L285" s="1"/>
      <c r="M285" s="1"/>
      <c r="N285" s="1"/>
    </row>
    <row r="286" spans="1:14" x14ac:dyDescent="0.2">
      <c r="A286" s="28"/>
      <c r="B286" s="28" t="s">
        <v>225</v>
      </c>
      <c r="C286" s="10" t="s">
        <v>995</v>
      </c>
      <c r="D286" s="10" t="s">
        <v>995</v>
      </c>
      <c r="E286" s="3" t="str">
        <f>IF(C288="x",M286,"")</f>
        <v/>
      </c>
      <c r="F286" s="1"/>
      <c r="G286" s="1"/>
      <c r="H286" s="1"/>
      <c r="I286" s="1"/>
      <c r="J286" s="5" t="str">
        <f>IF(C286="x","JUIST","")</f>
        <v/>
      </c>
      <c r="K286" s="5">
        <f>ABS(IF(J286="JUIST","0,5","0"))</f>
        <v>0</v>
      </c>
      <c r="L286" s="3">
        <v>0.5</v>
      </c>
      <c r="M286" s="1" t="s">
        <v>304</v>
      </c>
      <c r="N286" s="1"/>
    </row>
    <row r="287" spans="1:14" x14ac:dyDescent="0.2">
      <c r="A287" s="1"/>
      <c r="B287" s="1"/>
      <c r="C287" s="1"/>
      <c r="D287" s="1"/>
      <c r="E287" s="1"/>
      <c r="F287" s="1"/>
      <c r="G287" s="1"/>
      <c r="H287" s="1"/>
      <c r="I287" s="1"/>
      <c r="J287" s="1"/>
      <c r="K287" s="1"/>
      <c r="L287" s="1"/>
      <c r="M287" s="1"/>
      <c r="N287" s="1"/>
    </row>
    <row r="288" spans="1:14" x14ac:dyDescent="0.2">
      <c r="A288" s="1"/>
      <c r="B288" s="82" t="s">
        <v>1033</v>
      </c>
      <c r="C288" s="318" t="s">
        <v>995</v>
      </c>
      <c r="D288" s="1"/>
      <c r="E288" s="1"/>
      <c r="F288" s="1"/>
      <c r="G288" s="1"/>
      <c r="H288" s="1"/>
      <c r="I288" s="1"/>
      <c r="J288" s="1"/>
      <c r="K288" s="1"/>
      <c r="L288" s="1"/>
      <c r="M288" s="1"/>
      <c r="N288" s="1"/>
    </row>
    <row r="289" spans="1:14" x14ac:dyDescent="0.2">
      <c r="A289" s="1"/>
      <c r="B289" s="1"/>
      <c r="C289" s="1"/>
      <c r="D289" s="1"/>
      <c r="E289" s="1"/>
      <c r="F289" s="1"/>
      <c r="G289" s="1"/>
      <c r="H289" s="1"/>
      <c r="I289" s="1"/>
      <c r="J289" s="1"/>
      <c r="K289" s="1"/>
      <c r="L289" s="1"/>
      <c r="M289" s="1"/>
      <c r="N289" s="1"/>
    </row>
    <row r="290" spans="1:14" x14ac:dyDescent="0.2">
      <c r="A290" s="14"/>
      <c r="B290" s="14"/>
      <c r="C290" s="14"/>
      <c r="D290" s="14"/>
      <c r="E290" s="14"/>
      <c r="F290" s="14"/>
      <c r="G290" s="14"/>
      <c r="H290" s="14"/>
      <c r="I290" s="14"/>
      <c r="J290" s="1"/>
      <c r="K290" s="1"/>
      <c r="L290" s="1"/>
      <c r="M290" s="1"/>
      <c r="N290" s="1"/>
    </row>
    <row r="291" spans="1:14" x14ac:dyDescent="0.2">
      <c r="A291" s="1"/>
      <c r="B291" s="1"/>
      <c r="C291" s="1"/>
      <c r="D291" s="1"/>
      <c r="E291" s="1"/>
      <c r="F291" s="1"/>
      <c r="G291" s="1"/>
      <c r="H291" s="1"/>
      <c r="I291" s="1"/>
      <c r="J291" s="1"/>
      <c r="K291" s="1"/>
      <c r="L291" s="1"/>
      <c r="M291" s="1"/>
      <c r="N291" s="1"/>
    </row>
    <row r="292" spans="1:14" x14ac:dyDescent="0.2">
      <c r="A292" s="1" t="s">
        <v>907</v>
      </c>
      <c r="B292" s="1" t="s">
        <v>2590</v>
      </c>
      <c r="C292" s="1"/>
      <c r="D292" s="1"/>
      <c r="E292" s="5" t="s">
        <v>992</v>
      </c>
      <c r="F292" s="1"/>
      <c r="G292" s="1"/>
      <c r="H292" s="1"/>
      <c r="I292" s="1"/>
      <c r="J292" s="5" t="e">
        <f>SEARCH("personeelsdoel",C296)</f>
        <v>#VALUE!</v>
      </c>
      <c r="K292" s="1"/>
      <c r="L292" s="3"/>
      <c r="M292" s="1"/>
      <c r="N292" s="1"/>
    </row>
    <row r="293" spans="1:14" x14ac:dyDescent="0.2">
      <c r="A293" s="1"/>
      <c r="B293" s="1" t="s">
        <v>2591</v>
      </c>
      <c r="C293" s="1"/>
      <c r="D293" s="1"/>
      <c r="E293" s="1"/>
      <c r="F293" s="1"/>
      <c r="G293" s="1"/>
      <c r="H293" s="1"/>
      <c r="I293" s="1"/>
      <c r="J293" s="5">
        <f>ABS(ISERR(J292))</f>
        <v>1</v>
      </c>
      <c r="K293" s="5">
        <f>ABS(IF(J293=0,"1","0"))</f>
        <v>0</v>
      </c>
      <c r="L293" s="3">
        <v>1</v>
      </c>
      <c r="M293" s="1" t="s">
        <v>993</v>
      </c>
      <c r="N293" s="1"/>
    </row>
    <row r="294" spans="1:14" x14ac:dyDescent="0.2">
      <c r="A294" s="1"/>
      <c r="B294" s="1" t="s">
        <v>230</v>
      </c>
      <c r="C294" s="1"/>
      <c r="D294" s="1"/>
      <c r="E294" s="3" t="s">
        <v>228</v>
      </c>
      <c r="F294" s="1"/>
      <c r="G294" s="1"/>
      <c r="H294" s="1"/>
      <c r="I294" s="1"/>
      <c r="J294" s="6" t="str">
        <f>IF(C299="x","Personeelsdoelen","")</f>
        <v/>
      </c>
      <c r="K294" s="1"/>
      <c r="L294" s="1"/>
      <c r="M294" s="1"/>
      <c r="N294" s="1"/>
    </row>
    <row r="295" spans="1:14" x14ac:dyDescent="0.2">
      <c r="A295" s="1"/>
      <c r="B295" s="1"/>
      <c r="C295" s="1"/>
      <c r="D295" s="1"/>
      <c r="E295" s="3" t="s">
        <v>229</v>
      </c>
      <c r="G295" s="1"/>
      <c r="H295" s="1"/>
      <c r="I295" s="1"/>
      <c r="J295" s="1"/>
      <c r="K295" s="1"/>
      <c r="L295" s="1"/>
      <c r="M295" s="1"/>
      <c r="N295" s="1"/>
    </row>
    <row r="296" spans="1:14" x14ac:dyDescent="0.2">
      <c r="A296" s="1"/>
      <c r="B296" s="1"/>
      <c r="C296" s="10" t="s">
        <v>995</v>
      </c>
      <c r="D296" s="1"/>
      <c r="E296" s="1"/>
      <c r="F296" s="1"/>
      <c r="G296" s="108" t="s">
        <v>226</v>
      </c>
      <c r="H296" s="110"/>
      <c r="I296" s="1"/>
      <c r="J296" s="1"/>
      <c r="K296" s="1"/>
      <c r="L296" s="1"/>
      <c r="M296" s="1"/>
      <c r="N296" s="1"/>
    </row>
    <row r="297" spans="1:14" x14ac:dyDescent="0.2">
      <c r="A297" s="1"/>
      <c r="B297" s="1"/>
      <c r="C297" s="1" t="str">
        <f>IF(C299="x",J294,"")</f>
        <v/>
      </c>
      <c r="D297" s="1"/>
      <c r="E297" s="1"/>
      <c r="F297" s="1"/>
      <c r="G297" s="1" t="s">
        <v>995</v>
      </c>
      <c r="H297" s="1"/>
      <c r="I297" s="1"/>
      <c r="J297" s="1"/>
      <c r="K297" s="1"/>
      <c r="L297" s="1"/>
      <c r="M297" s="1"/>
      <c r="N297" s="1"/>
    </row>
    <row r="298" spans="1:14" x14ac:dyDescent="0.2">
      <c r="A298" s="1"/>
      <c r="B298" s="1"/>
      <c r="C298" s="1"/>
      <c r="D298" s="1"/>
      <c r="E298" s="1"/>
      <c r="F298" s="1"/>
      <c r="G298" s="1"/>
      <c r="H298" s="1"/>
      <c r="I298" s="1"/>
      <c r="J298" s="1"/>
      <c r="K298" s="1"/>
      <c r="L298" s="1"/>
      <c r="M298" s="1"/>
      <c r="N298" s="1"/>
    </row>
    <row r="299" spans="1:14" x14ac:dyDescent="0.2">
      <c r="A299" s="1"/>
      <c r="B299" s="82" t="s">
        <v>1033</v>
      </c>
      <c r="C299" s="318" t="s">
        <v>995</v>
      </c>
      <c r="D299" s="1"/>
      <c r="E299" s="1"/>
      <c r="G299" s="108" t="s">
        <v>227</v>
      </c>
      <c r="H299" s="110"/>
      <c r="I299" s="1"/>
      <c r="J299" s="1"/>
      <c r="K299" s="1"/>
      <c r="L299" s="1"/>
      <c r="M299" s="1"/>
      <c r="N299" s="1"/>
    </row>
    <row r="300" spans="1:14" x14ac:dyDescent="0.2">
      <c r="A300" s="1"/>
      <c r="B300" s="1"/>
      <c r="C300" s="1"/>
      <c r="D300" s="1"/>
      <c r="E300" s="1"/>
      <c r="F300" s="1"/>
      <c r="G300" s="1"/>
      <c r="H300" s="1"/>
      <c r="I300" s="1"/>
      <c r="J300" s="1"/>
      <c r="K300" s="1"/>
      <c r="L300" s="1"/>
      <c r="M300" s="1"/>
      <c r="N300" s="1"/>
    </row>
    <row r="301" spans="1:14" x14ac:dyDescent="0.2">
      <c r="A301" s="14"/>
      <c r="B301" s="14"/>
      <c r="C301" s="14"/>
      <c r="D301" s="14"/>
      <c r="E301" s="14"/>
      <c r="F301" s="14"/>
      <c r="G301" s="14"/>
      <c r="H301" s="14"/>
      <c r="I301" s="14"/>
      <c r="J301" s="1"/>
      <c r="K301" s="1"/>
      <c r="L301" s="1"/>
      <c r="M301" s="1"/>
      <c r="N301" s="1"/>
    </row>
    <row r="302" spans="1:14" x14ac:dyDescent="0.2">
      <c r="A302" s="1"/>
      <c r="B302" s="1"/>
      <c r="C302" s="1"/>
      <c r="D302" s="1"/>
      <c r="E302" s="1"/>
      <c r="F302" s="1"/>
      <c r="G302" s="1"/>
      <c r="H302" s="1"/>
      <c r="I302" s="1"/>
      <c r="J302" s="5" t="e">
        <f>SEARCH("verantwoord",D304)</f>
        <v>#VALUE!</v>
      </c>
      <c r="K302" s="1"/>
      <c r="L302" s="3"/>
      <c r="M302" s="1"/>
      <c r="N302" s="1"/>
    </row>
    <row r="303" spans="1:14" x14ac:dyDescent="0.2">
      <c r="A303" s="1" t="s">
        <v>1256</v>
      </c>
      <c r="B303" s="1" t="s">
        <v>2592</v>
      </c>
      <c r="C303" s="1"/>
      <c r="D303" s="1" t="s">
        <v>1742</v>
      </c>
      <c r="E303" s="1"/>
      <c r="F303" s="1"/>
      <c r="G303" s="1"/>
      <c r="H303" s="1"/>
      <c r="I303" s="1"/>
      <c r="J303" s="5">
        <f>ABS(ISERR(J302))</f>
        <v>1</v>
      </c>
      <c r="K303" s="5">
        <f>ABS(IF(J303=0,"1","0"))</f>
        <v>0</v>
      </c>
      <c r="L303" s="3" t="s">
        <v>995</v>
      </c>
      <c r="M303" s="1"/>
      <c r="N303" s="1"/>
    </row>
    <row r="304" spans="1:14" x14ac:dyDescent="0.2">
      <c r="A304" s="1"/>
      <c r="B304" s="1" t="s">
        <v>1740</v>
      </c>
      <c r="C304" s="1"/>
      <c r="D304" s="186" t="s">
        <v>995</v>
      </c>
      <c r="E304" s="356"/>
      <c r="F304" s="356"/>
      <c r="G304" s="319"/>
      <c r="H304" s="1"/>
      <c r="I304" s="1"/>
      <c r="J304" s="5" t="e">
        <f>SEARCH("legitimiteit",D304)</f>
        <v>#VALUE!</v>
      </c>
      <c r="K304" s="1"/>
      <c r="L304" s="3"/>
      <c r="M304" s="1"/>
      <c r="N304" s="1"/>
    </row>
    <row r="305" spans="1:14" x14ac:dyDescent="0.2">
      <c r="A305" s="1"/>
      <c r="B305" s="1" t="s">
        <v>1741</v>
      </c>
      <c r="C305" s="1"/>
      <c r="D305" s="1" t="str">
        <f>IF(C308="x",J306,"")</f>
        <v/>
      </c>
      <c r="E305" s="1"/>
      <c r="F305" s="1"/>
      <c r="G305" s="1"/>
      <c r="H305" s="1"/>
      <c r="I305" s="1"/>
      <c r="J305" s="5">
        <f>ABS(ISERR(J304))</f>
        <v>1</v>
      </c>
      <c r="K305" s="5">
        <f>ABS(IF(J305=0,"1","0"))</f>
        <v>0</v>
      </c>
      <c r="L305" s="3">
        <v>1</v>
      </c>
      <c r="M305" s="1"/>
      <c r="N305" s="1"/>
    </row>
    <row r="306" spans="1:14" x14ac:dyDescent="0.2">
      <c r="A306" s="1"/>
      <c r="B306" s="1" t="s">
        <v>2593</v>
      </c>
      <c r="C306" s="1"/>
      <c r="D306" s="1"/>
      <c r="E306" s="1"/>
      <c r="F306" s="1"/>
      <c r="G306" s="1"/>
      <c r="H306" s="1"/>
      <c r="I306" s="1"/>
      <c r="J306" s="6" t="str">
        <f>IF(C308="x","voor het afleggen van verantwoording (legitimiteit)","")</f>
        <v/>
      </c>
      <c r="K306" s="1"/>
      <c r="L306" s="1"/>
      <c r="M306" s="1"/>
      <c r="N306" s="1"/>
    </row>
    <row r="307" spans="1:14" x14ac:dyDescent="0.2">
      <c r="A307" s="1"/>
      <c r="B307" s="1"/>
      <c r="C307" s="1"/>
      <c r="D307" s="1"/>
      <c r="E307" s="1"/>
      <c r="F307" s="1"/>
      <c r="G307" s="1"/>
      <c r="H307" s="1"/>
      <c r="I307" s="1"/>
      <c r="J307" s="1"/>
      <c r="K307" s="1"/>
      <c r="L307" s="1"/>
      <c r="M307" s="1"/>
      <c r="N307" s="1"/>
    </row>
    <row r="308" spans="1:14" x14ac:dyDescent="0.2">
      <c r="A308" s="1"/>
      <c r="B308" s="82" t="s">
        <v>1033</v>
      </c>
      <c r="C308" s="318" t="s">
        <v>995</v>
      </c>
      <c r="D308" s="1"/>
      <c r="E308" s="1"/>
      <c r="F308" s="1"/>
      <c r="G308" s="1"/>
      <c r="H308" s="1"/>
      <c r="I308" s="1"/>
      <c r="J308" s="1"/>
      <c r="K308" s="1"/>
      <c r="L308" s="1"/>
      <c r="M308" s="1"/>
      <c r="N308" s="1"/>
    </row>
    <row r="309" spans="1:14" x14ac:dyDescent="0.2">
      <c r="A309" s="1"/>
      <c r="B309" s="1"/>
      <c r="C309" s="1"/>
      <c r="D309" s="1"/>
      <c r="E309" s="1"/>
      <c r="F309" s="1"/>
      <c r="G309" s="1"/>
      <c r="H309" s="1"/>
      <c r="I309" s="1"/>
      <c r="J309" s="1"/>
      <c r="K309" s="1"/>
      <c r="L309" s="1"/>
      <c r="M309" s="1"/>
      <c r="N309" s="1"/>
    </row>
    <row r="310" spans="1:14" x14ac:dyDescent="0.2">
      <c r="A310" s="14"/>
      <c r="B310" s="14"/>
      <c r="C310" s="14"/>
      <c r="D310" s="14"/>
      <c r="E310" s="14"/>
      <c r="F310" s="14"/>
      <c r="G310" s="14"/>
      <c r="H310" s="14"/>
      <c r="I310" s="14"/>
      <c r="J310" s="1"/>
      <c r="K310" s="1"/>
      <c r="L310" s="1"/>
      <c r="M310" s="1"/>
      <c r="N310" s="1"/>
    </row>
    <row r="311" spans="1:14" x14ac:dyDescent="0.2">
      <c r="A311" s="1"/>
      <c r="B311" s="1"/>
      <c r="C311" s="1"/>
      <c r="D311" s="1"/>
      <c r="E311" s="1"/>
      <c r="F311" s="1"/>
      <c r="G311" s="1"/>
      <c r="H311" s="1"/>
      <c r="I311" s="1"/>
      <c r="J311" s="1"/>
      <c r="K311" s="1"/>
      <c r="L311" s="1"/>
      <c r="M311" s="1"/>
      <c r="N311" s="1"/>
    </row>
    <row r="312" spans="1:14" ht="39" thickBot="1" x14ac:dyDescent="0.25">
      <c r="A312" s="25" t="s">
        <v>1262</v>
      </c>
      <c r="B312" s="103" t="s">
        <v>2594</v>
      </c>
      <c r="C312" s="1"/>
      <c r="D312" s="102" t="s">
        <v>446</v>
      </c>
      <c r="E312" s="102" t="s">
        <v>1623</v>
      </c>
      <c r="F312" s="526" t="s">
        <v>2119</v>
      </c>
      <c r="G312" s="527" t="s">
        <v>2120</v>
      </c>
      <c r="H312" s="1"/>
      <c r="I312" s="1"/>
      <c r="J312" s="5" t="str">
        <f>IF(D313="x","FOUT","")</f>
        <v/>
      </c>
      <c r="K312" s="5">
        <f>ABS(IF(J312="JUIST","1","0"))</f>
        <v>0</v>
      </c>
      <c r="L312" s="1"/>
      <c r="M312" s="1"/>
      <c r="N312" s="1"/>
    </row>
    <row r="313" spans="1:14" ht="13.5" thickTop="1" x14ac:dyDescent="0.2">
      <c r="A313" s="1"/>
      <c r="C313" s="1"/>
      <c r="D313" s="425" t="s">
        <v>995</v>
      </c>
      <c r="E313" s="425" t="s">
        <v>995</v>
      </c>
      <c r="F313" s="425" t="s">
        <v>995</v>
      </c>
      <c r="G313" s="425" t="s">
        <v>995</v>
      </c>
      <c r="H313" s="1"/>
      <c r="I313" s="1"/>
      <c r="J313" s="5" t="str">
        <f>IF(E313="x","FOUT","")</f>
        <v/>
      </c>
      <c r="K313" s="5">
        <f>ABS(IF(J313="JUIST","1","0"))</f>
        <v>0</v>
      </c>
      <c r="L313" s="1"/>
      <c r="M313" s="1"/>
      <c r="N313" s="1"/>
    </row>
    <row r="314" spans="1:14" x14ac:dyDescent="0.2">
      <c r="A314" s="1"/>
      <c r="B314" s="61" t="s">
        <v>2595</v>
      </c>
      <c r="C314" s="1"/>
      <c r="D314" s="3" t="s">
        <v>475</v>
      </c>
      <c r="E314" s="3" t="s">
        <v>476</v>
      </c>
      <c r="F314" s="3" t="s">
        <v>477</v>
      </c>
      <c r="G314" s="3" t="s">
        <v>478</v>
      </c>
      <c r="H314" s="1"/>
      <c r="I314" s="1"/>
      <c r="J314" s="5" t="str">
        <f>IF(F313="x","FOUT","")</f>
        <v/>
      </c>
      <c r="K314" s="5">
        <f>ABS(IF(J314="JUIST","1","0"))</f>
        <v>0</v>
      </c>
      <c r="L314" s="1"/>
      <c r="M314" s="1"/>
      <c r="N314" s="1"/>
    </row>
    <row r="315" spans="1:14" x14ac:dyDescent="0.2">
      <c r="A315" s="1"/>
      <c r="B315" s="1" t="s">
        <v>995</v>
      </c>
      <c r="D315" s="1"/>
      <c r="E315" s="1"/>
      <c r="F315" s="1"/>
      <c r="G315" s="1"/>
      <c r="H315" s="1"/>
      <c r="I315" s="1"/>
      <c r="J315" s="5" t="str">
        <f>IF(G313="x","JUIST","")</f>
        <v/>
      </c>
      <c r="K315" s="5">
        <f>ABS(IF(J315="JUIST","1","0"))</f>
        <v>0</v>
      </c>
      <c r="L315" s="3">
        <v>1</v>
      </c>
      <c r="M315" s="1"/>
      <c r="N315" s="1"/>
    </row>
    <row r="316" spans="1:14" x14ac:dyDescent="0.2">
      <c r="A316" s="1"/>
      <c r="B316" s="82" t="s">
        <v>1033</v>
      </c>
      <c r="C316" s="318" t="s">
        <v>995</v>
      </c>
      <c r="D316" s="3"/>
      <c r="E316" s="3"/>
      <c r="F316" s="3"/>
      <c r="G316" s="1"/>
      <c r="H316" s="1"/>
      <c r="I316" s="1"/>
      <c r="J316" s="73" t="str">
        <f>IF(C316="x","Het juiste antwoord is:  D.","")</f>
        <v/>
      </c>
      <c r="K316" s="1"/>
      <c r="L316" s="1"/>
      <c r="M316" s="1"/>
      <c r="N316" s="1"/>
    </row>
    <row r="317" spans="1:14" x14ac:dyDescent="0.2">
      <c r="A317" s="1"/>
      <c r="B317" s="1" t="str">
        <f>IF(C316="x",J316,"")</f>
        <v/>
      </c>
      <c r="C317" s="1"/>
      <c r="D317" s="1"/>
      <c r="E317" s="1"/>
      <c r="F317" s="1"/>
      <c r="G317" s="1"/>
      <c r="H317" s="1"/>
      <c r="I317" s="1"/>
      <c r="J317" s="1"/>
      <c r="K317" s="1"/>
      <c r="L317" s="1"/>
      <c r="M317" s="1"/>
      <c r="N317" s="1"/>
    </row>
    <row r="318" spans="1:14" x14ac:dyDescent="0.2">
      <c r="A318" s="14"/>
      <c r="B318" s="14"/>
      <c r="C318" s="14"/>
      <c r="D318" s="14"/>
      <c r="E318" s="14"/>
      <c r="F318" s="14"/>
      <c r="G318" s="14"/>
      <c r="H318" s="14"/>
      <c r="I318" s="14"/>
      <c r="J318" s="1"/>
      <c r="K318" s="1"/>
      <c r="L318" s="1"/>
      <c r="M318" s="1"/>
      <c r="N318" s="1"/>
    </row>
    <row r="319" spans="1:14" x14ac:dyDescent="0.2">
      <c r="A319" s="1"/>
      <c r="B319" s="1"/>
      <c r="C319" s="1"/>
      <c r="D319" s="1"/>
      <c r="E319" s="1"/>
      <c r="F319" s="1"/>
      <c r="G319" s="1"/>
      <c r="H319" s="1"/>
      <c r="I319" s="1"/>
      <c r="J319" s="1"/>
      <c r="K319" s="1"/>
      <c r="L319" s="1"/>
      <c r="M319" s="1"/>
      <c r="N319" s="1"/>
    </row>
    <row r="320" spans="1:14" ht="39" thickBot="1" x14ac:dyDescent="0.25">
      <c r="A320" s="25" t="s">
        <v>300</v>
      </c>
      <c r="B320" s="103" t="s">
        <v>2596</v>
      </c>
      <c r="C320" s="1"/>
      <c r="D320" s="102" t="s">
        <v>446</v>
      </c>
      <c r="E320" s="102" t="s">
        <v>1623</v>
      </c>
      <c r="F320" s="526" t="s">
        <v>2119</v>
      </c>
      <c r="G320" s="527" t="s">
        <v>2120</v>
      </c>
      <c r="H320" s="1"/>
      <c r="I320" s="1"/>
      <c r="J320" s="5" t="str">
        <f>IF(D321="x","JUIST","")</f>
        <v/>
      </c>
      <c r="K320" s="5">
        <f>ABS(IF(J320="JUIST","1","0"))</f>
        <v>0</v>
      </c>
      <c r="L320" s="3">
        <v>1</v>
      </c>
      <c r="M320" s="1"/>
      <c r="N320" s="1"/>
    </row>
    <row r="321" spans="1:14" ht="13.5" thickTop="1" x14ac:dyDescent="0.2">
      <c r="A321" s="1"/>
      <c r="B321" t="s">
        <v>2597</v>
      </c>
      <c r="C321" s="1"/>
      <c r="D321" s="425" t="s">
        <v>995</v>
      </c>
      <c r="E321" s="425" t="s">
        <v>995</v>
      </c>
      <c r="F321" s="425" t="s">
        <v>995</v>
      </c>
      <c r="G321" s="425" t="s">
        <v>995</v>
      </c>
      <c r="H321" s="1"/>
      <c r="I321" s="1"/>
      <c r="J321" s="5" t="str">
        <f>IF(E321="x","FOUT","")</f>
        <v/>
      </c>
      <c r="K321" s="5">
        <f>ABS(IF(J321="JUIST","1","0"))</f>
        <v>0</v>
      </c>
      <c r="L321" s="1"/>
      <c r="M321" s="1"/>
      <c r="N321" s="1"/>
    </row>
    <row r="322" spans="1:14" x14ac:dyDescent="0.2">
      <c r="A322" s="1"/>
      <c r="B322" s="61" t="s">
        <v>2598</v>
      </c>
      <c r="C322" s="1"/>
      <c r="D322" s="3" t="s">
        <v>475</v>
      </c>
      <c r="E322" s="3" t="s">
        <v>476</v>
      </c>
      <c r="F322" s="3" t="s">
        <v>477</v>
      </c>
      <c r="G322" s="3" t="s">
        <v>478</v>
      </c>
      <c r="H322" s="1"/>
      <c r="I322" s="1"/>
      <c r="J322" s="5" t="str">
        <f>IF(F321="x","FOUT","")</f>
        <v/>
      </c>
      <c r="K322" s="5">
        <f>ABS(IF(J322="JUIST","1","0"))</f>
        <v>0</v>
      </c>
      <c r="L322" s="1"/>
      <c r="M322" s="1"/>
      <c r="N322" s="1"/>
    </row>
    <row r="323" spans="1:14" x14ac:dyDescent="0.2">
      <c r="A323" s="1"/>
      <c r="B323" s="1" t="s">
        <v>2599</v>
      </c>
      <c r="D323" s="1"/>
      <c r="E323" s="1"/>
      <c r="F323" s="1"/>
      <c r="G323" s="1"/>
      <c r="H323" s="1"/>
      <c r="I323" s="1"/>
      <c r="J323" s="5" t="str">
        <f>IF(G321="x","FOUT","")</f>
        <v/>
      </c>
      <c r="K323" s="5">
        <f>ABS(IF(J323="JUIST","1","0"))</f>
        <v>0</v>
      </c>
      <c r="L323" s="1"/>
      <c r="M323" s="1"/>
      <c r="N323" s="1"/>
    </row>
    <row r="324" spans="1:14" x14ac:dyDescent="0.2">
      <c r="A324" s="1"/>
      <c r="B324" s="1"/>
      <c r="C324" s="1"/>
      <c r="D324" s="3"/>
      <c r="E324" s="3"/>
      <c r="F324" s="3"/>
      <c r="G324" s="1"/>
      <c r="H324" s="1"/>
      <c r="I324" s="1"/>
      <c r="J324" s="73" t="str">
        <f>IF(C325="x","Het juiste antwoord is:  A.","")</f>
        <v/>
      </c>
      <c r="K324" s="1"/>
      <c r="L324" s="1"/>
      <c r="M324" s="1"/>
      <c r="N324" s="1"/>
    </row>
    <row r="325" spans="1:14" x14ac:dyDescent="0.2">
      <c r="A325" s="1"/>
      <c r="B325" s="82" t="s">
        <v>1033</v>
      </c>
      <c r="C325" s="318" t="s">
        <v>995</v>
      </c>
      <c r="D325" s="1"/>
      <c r="E325" s="1"/>
      <c r="F325" s="1"/>
      <c r="G325" s="1"/>
      <c r="H325" s="1"/>
      <c r="I325" s="1"/>
      <c r="J325" s="1"/>
      <c r="K325" s="1"/>
      <c r="L325" s="1"/>
      <c r="M325" s="1"/>
      <c r="N325" s="1"/>
    </row>
    <row r="326" spans="1:14" x14ac:dyDescent="0.2">
      <c r="A326" s="1"/>
      <c r="B326" s="1" t="str">
        <f>IF(C325="x",J324,"")</f>
        <v/>
      </c>
      <c r="C326" s="1"/>
      <c r="D326" s="1"/>
      <c r="E326" s="1"/>
      <c r="F326" s="1"/>
      <c r="G326" s="1"/>
      <c r="H326" s="1"/>
      <c r="I326" s="1"/>
      <c r="J326" s="1"/>
      <c r="K326" s="1"/>
      <c r="L326" s="1"/>
      <c r="M326" s="1"/>
      <c r="N326" s="1"/>
    </row>
    <row r="327" spans="1:14" x14ac:dyDescent="0.2">
      <c r="A327" s="14"/>
      <c r="B327" s="14"/>
      <c r="C327" s="14"/>
      <c r="D327" s="14"/>
      <c r="E327" s="14"/>
      <c r="F327" s="14"/>
      <c r="G327" s="14"/>
      <c r="H327" s="14"/>
      <c r="I327" s="14"/>
      <c r="J327" s="1"/>
      <c r="K327" s="1"/>
      <c r="L327" s="1"/>
      <c r="M327" s="1"/>
      <c r="N327" s="1"/>
    </row>
    <row r="328" spans="1:14" x14ac:dyDescent="0.2">
      <c r="A328" s="1"/>
      <c r="B328" s="1"/>
      <c r="C328" s="1"/>
      <c r="D328" s="1"/>
      <c r="E328" s="1"/>
      <c r="F328" s="1"/>
      <c r="G328" s="1"/>
      <c r="H328" s="1"/>
      <c r="I328" s="1"/>
      <c r="J328" s="67" t="s">
        <v>2000</v>
      </c>
      <c r="K328" s="1"/>
      <c r="L328" s="1"/>
      <c r="M328" s="1"/>
      <c r="N328" s="1"/>
    </row>
    <row r="329" spans="1:14" x14ac:dyDescent="0.2">
      <c r="A329" s="67" t="s">
        <v>307</v>
      </c>
      <c r="B329" s="519" t="s">
        <v>2600</v>
      </c>
      <c r="C329" s="1"/>
      <c r="D329" s="1"/>
      <c r="E329" s="1"/>
      <c r="F329" s="1"/>
      <c r="G329" s="1"/>
      <c r="H329" s="1"/>
      <c r="I329" s="1"/>
      <c r="J329" s="67" t="s">
        <v>2001</v>
      </c>
      <c r="K329" s="1"/>
      <c r="L329" s="1"/>
      <c r="M329" s="1"/>
      <c r="N329" s="1"/>
    </row>
    <row r="330" spans="1:14" x14ac:dyDescent="0.2">
      <c r="A330" s="1"/>
      <c r="B330" s="519" t="s">
        <v>2601</v>
      </c>
      <c r="C330" s="1"/>
      <c r="D330" s="1"/>
      <c r="E330" s="1"/>
      <c r="F330" s="1"/>
      <c r="G330" s="1"/>
      <c r="H330" s="1"/>
      <c r="I330" s="1"/>
      <c r="J330" s="67" t="s">
        <v>2002</v>
      </c>
      <c r="K330" s="1"/>
      <c r="L330" s="1"/>
      <c r="M330" s="1"/>
      <c r="N330" s="1"/>
    </row>
    <row r="331" spans="1:14" x14ac:dyDescent="0.2">
      <c r="A331" s="1"/>
      <c r="B331" s="519" t="s">
        <v>2602</v>
      </c>
      <c r="C331" s="1"/>
      <c r="D331" s="1"/>
      <c r="E331" s="1"/>
      <c r="F331" s="1"/>
      <c r="G331" s="1"/>
      <c r="H331" s="1"/>
      <c r="I331" s="1"/>
      <c r="J331" s="426"/>
      <c r="K331" s="1"/>
      <c r="L331" s="1"/>
      <c r="M331" s="1"/>
      <c r="N331" s="1"/>
    </row>
    <row r="332" spans="1:14" x14ac:dyDescent="0.2">
      <c r="A332" s="1"/>
      <c r="B332" s="67" t="s">
        <v>1991</v>
      </c>
      <c r="C332" s="1"/>
      <c r="D332" s="1"/>
      <c r="E332" s="1"/>
      <c r="F332" s="1"/>
      <c r="G332" s="1"/>
      <c r="H332" s="1"/>
      <c r="I332" s="1"/>
      <c r="J332" s="1"/>
      <c r="K332" s="1"/>
      <c r="L332" s="1"/>
      <c r="M332" s="1"/>
      <c r="N332" s="1"/>
    </row>
    <row r="333" spans="1:14" ht="13.5" thickBot="1" x14ac:dyDescent="0.25">
      <c r="A333" s="1"/>
      <c r="B333" s="1"/>
      <c r="C333" s="486" t="s">
        <v>1993</v>
      </c>
      <c r="D333" s="486" t="s">
        <v>1994</v>
      </c>
      <c r="E333" s="486" t="s">
        <v>1992</v>
      </c>
      <c r="F333" s="1"/>
      <c r="G333" s="1"/>
      <c r="H333" s="1"/>
      <c r="I333" s="1"/>
      <c r="J333" s="1"/>
      <c r="K333" s="1"/>
      <c r="L333" s="1"/>
      <c r="M333" s="1"/>
      <c r="N333" s="1"/>
    </row>
    <row r="334" spans="1:14" ht="13.5" thickTop="1" x14ac:dyDescent="0.2">
      <c r="A334" s="1"/>
      <c r="B334" s="485" t="s">
        <v>1996</v>
      </c>
      <c r="C334" s="487" t="s">
        <v>995</v>
      </c>
      <c r="D334" s="487" t="s">
        <v>995</v>
      </c>
      <c r="E334" s="487" t="s">
        <v>995</v>
      </c>
      <c r="F334" s="3"/>
      <c r="G334" s="1"/>
      <c r="H334" s="1"/>
      <c r="I334" s="1"/>
      <c r="J334" s="1"/>
      <c r="K334" s="1"/>
      <c r="L334" s="1"/>
      <c r="M334" s="1"/>
      <c r="N334" s="1"/>
    </row>
    <row r="335" spans="1:14" x14ac:dyDescent="0.2">
      <c r="A335" s="1"/>
      <c r="B335" s="485" t="s">
        <v>1997</v>
      </c>
      <c r="C335" s="488" t="s">
        <v>995</v>
      </c>
      <c r="D335" s="488" t="s">
        <v>995</v>
      </c>
      <c r="E335" s="488" t="s">
        <v>995</v>
      </c>
      <c r="F335" s="430" t="str">
        <f>IF(C340="x",J328,"")</f>
        <v/>
      </c>
      <c r="G335" s="1"/>
      <c r="H335" s="1"/>
      <c r="I335" s="1"/>
      <c r="J335" s="5" t="str">
        <f>IF(C335="x","JUIST","")</f>
        <v/>
      </c>
      <c r="K335" s="5">
        <f>ABS(IF(J335="JUIST","1","0"))</f>
        <v>0</v>
      </c>
      <c r="L335" s="1">
        <v>1</v>
      </c>
      <c r="M335" s="1"/>
      <c r="N335" s="1"/>
    </row>
    <row r="336" spans="1:14" x14ac:dyDescent="0.2">
      <c r="A336" s="1"/>
      <c r="B336" s="485" t="s">
        <v>1995</v>
      </c>
      <c r="C336" s="488" t="s">
        <v>995</v>
      </c>
      <c r="D336" s="488" t="s">
        <v>995</v>
      </c>
      <c r="E336" s="488" t="s">
        <v>995</v>
      </c>
      <c r="F336" s="430" t="str">
        <f>IF(C340="x",J329,"")</f>
        <v/>
      </c>
      <c r="G336" s="1"/>
      <c r="H336" s="1"/>
      <c r="I336" s="1"/>
      <c r="J336" s="5" t="str">
        <f>IF(D336="x","JUIST","")</f>
        <v/>
      </c>
      <c r="K336" s="5">
        <f>ABS(IF(J336="JUIST","1","0"))</f>
        <v>0</v>
      </c>
      <c r="L336" s="1">
        <v>1</v>
      </c>
      <c r="M336" s="1"/>
      <c r="N336" s="1"/>
    </row>
    <row r="337" spans="1:14" x14ac:dyDescent="0.2">
      <c r="A337" s="1"/>
      <c r="B337" s="485" t="s">
        <v>1998</v>
      </c>
      <c r="C337" s="488" t="s">
        <v>995</v>
      </c>
      <c r="D337" s="488" t="s">
        <v>995</v>
      </c>
      <c r="E337" s="488" t="s">
        <v>995</v>
      </c>
      <c r="F337" s="3"/>
      <c r="G337" s="1"/>
      <c r="H337" s="1"/>
      <c r="I337" s="1"/>
      <c r="J337" s="1"/>
      <c r="K337" s="1"/>
      <c r="L337" s="1">
        <v>1</v>
      </c>
      <c r="M337" s="1"/>
      <c r="N337" s="1"/>
    </row>
    <row r="338" spans="1:14" x14ac:dyDescent="0.2">
      <c r="A338" s="1"/>
      <c r="B338" s="485" t="s">
        <v>1999</v>
      </c>
      <c r="C338" s="488" t="s">
        <v>995</v>
      </c>
      <c r="D338" s="488" t="s">
        <v>995</v>
      </c>
      <c r="E338" s="488" t="s">
        <v>995</v>
      </c>
      <c r="F338" s="430" t="str">
        <f>IF(C340="x",J330,"")</f>
        <v/>
      </c>
      <c r="G338" s="1"/>
      <c r="H338" s="1"/>
      <c r="I338" s="1"/>
      <c r="J338" s="5" t="str">
        <f>IF(E338="x","JUIST","")</f>
        <v/>
      </c>
      <c r="K338" s="5">
        <f>ABS(IF(J338="JUIST","1","0"))</f>
        <v>0</v>
      </c>
      <c r="L338" s="1"/>
      <c r="M338" s="1"/>
      <c r="N338" s="1"/>
    </row>
    <row r="339" spans="1:14" x14ac:dyDescent="0.2">
      <c r="A339" s="1"/>
      <c r="B339" s="1"/>
      <c r="C339" s="1"/>
      <c r="D339" s="1"/>
      <c r="E339" s="1"/>
      <c r="F339" s="1"/>
      <c r="G339" s="1"/>
      <c r="H339" s="1"/>
      <c r="I339" s="1"/>
      <c r="J339" s="426" t="s">
        <v>995</v>
      </c>
      <c r="K339" s="1"/>
      <c r="L339" s="1"/>
      <c r="M339" s="1"/>
      <c r="N339" s="1"/>
    </row>
    <row r="340" spans="1:14" x14ac:dyDescent="0.2">
      <c r="A340" s="1"/>
      <c r="B340" s="82" t="s">
        <v>1033</v>
      </c>
      <c r="C340" s="318" t="s">
        <v>995</v>
      </c>
      <c r="D340" s="1"/>
      <c r="E340" s="1"/>
      <c r="F340" s="1"/>
      <c r="G340" s="1"/>
      <c r="H340" s="1"/>
      <c r="I340" s="1"/>
      <c r="J340" s="1"/>
      <c r="K340" s="1"/>
      <c r="L340" s="1"/>
      <c r="M340" s="1"/>
      <c r="N340" s="1"/>
    </row>
    <row r="341" spans="1:14" x14ac:dyDescent="0.2">
      <c r="A341" s="1"/>
      <c r="B341" s="1"/>
      <c r="C341" s="1"/>
      <c r="D341" s="1"/>
      <c r="E341" s="1"/>
      <c r="F341" s="1"/>
      <c r="G341" s="1"/>
      <c r="H341" s="1"/>
      <c r="I341" s="1"/>
      <c r="J341" s="1"/>
      <c r="K341" s="1"/>
      <c r="L341" s="1"/>
      <c r="M341" s="1"/>
      <c r="N341" s="1"/>
    </row>
    <row r="342" spans="1:14" x14ac:dyDescent="0.2">
      <c r="A342" s="14"/>
      <c r="B342" s="14"/>
      <c r="C342" s="14"/>
      <c r="D342" s="14"/>
      <c r="E342" s="14"/>
      <c r="F342" s="14"/>
      <c r="G342" s="14"/>
      <c r="H342" s="14"/>
      <c r="I342" s="14"/>
      <c r="J342" s="426"/>
      <c r="K342" s="1"/>
      <c r="L342" s="1"/>
      <c r="M342" s="1"/>
      <c r="N342" s="1"/>
    </row>
    <row r="343" spans="1:14" x14ac:dyDescent="0.2">
      <c r="A343" s="1"/>
      <c r="B343" s="1"/>
      <c r="C343" s="1"/>
      <c r="D343" s="1"/>
      <c r="E343" s="1"/>
      <c r="F343" s="1"/>
      <c r="G343" s="1"/>
      <c r="H343" s="1"/>
      <c r="I343" s="1"/>
      <c r="J343" s="5" t="e">
        <f>SEARCH("toewijzen",B348)</f>
        <v>#VALUE!</v>
      </c>
      <c r="K343" s="1"/>
      <c r="L343" s="3"/>
      <c r="M343" s="1"/>
      <c r="N343" s="1"/>
    </row>
    <row r="344" spans="1:14" x14ac:dyDescent="0.2">
      <c r="A344" s="67" t="s">
        <v>314</v>
      </c>
      <c r="B344" s="67" t="s">
        <v>2003</v>
      </c>
      <c r="C344" s="1"/>
      <c r="D344" s="489" t="s">
        <v>2604</v>
      </c>
      <c r="E344" s="489"/>
      <c r="F344" s="489"/>
      <c r="G344" s="489"/>
      <c r="H344" s="489"/>
      <c r="I344" s="1"/>
      <c r="J344" s="5">
        <f>ABS(ISERR(J343))</f>
        <v>1</v>
      </c>
      <c r="K344" s="5">
        <f>ABS(IF(J344=0,"1","0"))</f>
        <v>0</v>
      </c>
      <c r="L344" s="3">
        <v>1</v>
      </c>
      <c r="M344" s="1" t="s">
        <v>2008</v>
      </c>
      <c r="N344" s="1"/>
    </row>
    <row r="345" spans="1:14" x14ac:dyDescent="0.2">
      <c r="A345" s="1"/>
      <c r="B345" s="519" t="s">
        <v>2603</v>
      </c>
      <c r="C345" s="1"/>
      <c r="D345" s="489" t="s">
        <v>2009</v>
      </c>
      <c r="E345" s="489"/>
      <c r="F345" s="489"/>
      <c r="G345" s="489"/>
      <c r="H345" s="489"/>
      <c r="I345" s="1"/>
      <c r="J345" s="5" t="e">
        <f>SEARCH("samenstelling",B348)</f>
        <v>#VALUE!</v>
      </c>
      <c r="K345" s="1"/>
      <c r="L345" s="3"/>
      <c r="M345" s="1"/>
      <c r="N345" s="1"/>
    </row>
    <row r="346" spans="1:14" x14ac:dyDescent="0.2">
      <c r="A346" s="1"/>
      <c r="B346" s="67" t="s">
        <v>2004</v>
      </c>
      <c r="C346" s="1"/>
      <c r="D346" s="489" t="s">
        <v>2010</v>
      </c>
      <c r="E346" s="489"/>
      <c r="F346" s="489"/>
      <c r="G346" s="489"/>
      <c r="H346" s="489"/>
      <c r="I346" s="1"/>
      <c r="J346" s="5">
        <f>ABS(ISERR(J345))</f>
        <v>1</v>
      </c>
      <c r="K346" s="5">
        <f>ABS(IF(J346=0,"1","0"))</f>
        <v>0</v>
      </c>
      <c r="L346" s="3">
        <v>1</v>
      </c>
      <c r="M346" s="1" t="s">
        <v>2005</v>
      </c>
      <c r="N346" s="1"/>
    </row>
    <row r="347" spans="1:14" x14ac:dyDescent="0.2">
      <c r="A347" s="1"/>
      <c r="B347" s="1"/>
      <c r="C347" s="1"/>
      <c r="D347" s="489" t="s">
        <v>2012</v>
      </c>
      <c r="E347" s="489"/>
      <c r="F347" s="489"/>
      <c r="G347" s="489"/>
      <c r="H347" s="489"/>
      <c r="I347" s="1"/>
      <c r="J347" s="5" t="e">
        <f>SEARCH("anticiperen",B348)</f>
        <v>#VALUE!</v>
      </c>
      <c r="K347" s="1"/>
      <c r="L347" s="3"/>
      <c r="M347" s="1"/>
      <c r="N347" s="1"/>
    </row>
    <row r="348" spans="1:14" x14ac:dyDescent="0.2">
      <c r="A348" s="1"/>
      <c r="B348" s="318" t="s">
        <v>995</v>
      </c>
      <c r="C348" s="1"/>
      <c r="D348" s="489" t="s">
        <v>2011</v>
      </c>
      <c r="E348" s="489"/>
      <c r="F348" s="489"/>
      <c r="G348" s="489"/>
      <c r="H348" s="489"/>
      <c r="I348" s="1"/>
      <c r="J348" s="5">
        <f>ABS(ISERR(J347))</f>
        <v>1</v>
      </c>
      <c r="K348" s="5">
        <f>ABS(IF(J348=0,"1","0"))</f>
        <v>0</v>
      </c>
      <c r="L348" s="3">
        <v>1</v>
      </c>
      <c r="M348" s="1" t="s">
        <v>421</v>
      </c>
      <c r="N348" s="1"/>
    </row>
    <row r="349" spans="1:14" x14ac:dyDescent="0.2">
      <c r="A349" s="1"/>
      <c r="B349" s="1"/>
      <c r="C349" s="1"/>
      <c r="D349" s="1"/>
      <c r="E349" s="1"/>
      <c r="F349" s="1"/>
      <c r="G349" s="1"/>
      <c r="H349" s="1"/>
      <c r="I349" s="1"/>
      <c r="J349" s="5" t="e">
        <f>SEARCH("veranderproces",B348)</f>
        <v>#VALUE!</v>
      </c>
      <c r="K349" s="1"/>
      <c r="L349" s="3"/>
      <c r="M349" s="1"/>
      <c r="N349" s="1"/>
    </row>
    <row r="350" spans="1:14" x14ac:dyDescent="0.2">
      <c r="A350" s="1"/>
      <c r="B350" s="426"/>
      <c r="C350" s="426"/>
      <c r="D350" s="1"/>
      <c r="E350" s="1"/>
      <c r="F350" s="1"/>
      <c r="G350" s="1"/>
      <c r="H350" s="1"/>
      <c r="I350" s="1"/>
      <c r="J350" s="5">
        <f>ABS(ISERR(J349))</f>
        <v>1</v>
      </c>
      <c r="K350" s="5">
        <f>ABS(IF(J350=0,"1","0"))</f>
        <v>0</v>
      </c>
      <c r="L350" s="3">
        <v>1</v>
      </c>
      <c r="M350" s="1" t="s">
        <v>2006</v>
      </c>
      <c r="N350" s="1"/>
    </row>
    <row r="351" spans="1:14" x14ac:dyDescent="0.2">
      <c r="A351" s="1"/>
      <c r="B351" s="82" t="s">
        <v>1033</v>
      </c>
      <c r="C351" s="318" t="s">
        <v>995</v>
      </c>
      <c r="D351" s="1"/>
      <c r="E351" s="1"/>
      <c r="F351" s="1"/>
      <c r="G351" s="1"/>
      <c r="H351" s="1"/>
      <c r="I351" s="1"/>
      <c r="J351" s="5" t="e">
        <f>SEARCH("afstemming",B348)</f>
        <v>#VALUE!</v>
      </c>
      <c r="K351" s="1"/>
      <c r="L351" s="3"/>
      <c r="M351" s="1"/>
      <c r="N351" s="1"/>
    </row>
    <row r="352" spans="1:14" x14ac:dyDescent="0.2">
      <c r="A352" s="1"/>
      <c r="B352" s="1"/>
      <c r="C352" s="1"/>
      <c r="D352" s="1"/>
      <c r="E352" s="1"/>
      <c r="F352" s="1"/>
      <c r="G352" s="1"/>
      <c r="H352" s="1"/>
      <c r="I352" s="1"/>
      <c r="J352" s="5">
        <f>ABS(ISERR(J351))</f>
        <v>1</v>
      </c>
      <c r="K352" s="5">
        <f>ABS(IF(J352=0,"1","0"))</f>
        <v>0</v>
      </c>
      <c r="L352" s="3">
        <v>1</v>
      </c>
      <c r="M352" s="1" t="s">
        <v>2007</v>
      </c>
      <c r="N352" s="1"/>
    </row>
    <row r="353" spans="1:14" x14ac:dyDescent="0.2">
      <c r="A353" s="1"/>
      <c r="B353" s="1"/>
      <c r="C353" s="1"/>
      <c r="D353" s="1"/>
      <c r="E353" s="1"/>
      <c r="F353" s="1"/>
      <c r="G353" s="1"/>
      <c r="H353" s="1"/>
      <c r="I353" s="1"/>
      <c r="J353" s="5" t="e">
        <f>SEARCH("opleiding",B348)</f>
        <v>#VALUE!</v>
      </c>
      <c r="K353" s="1"/>
      <c r="L353" s="3"/>
      <c r="M353" s="1"/>
      <c r="N353" s="1"/>
    </row>
    <row r="354" spans="1:14" x14ac:dyDescent="0.2">
      <c r="A354" s="426"/>
      <c r="B354" s="426"/>
      <c r="C354" s="426"/>
      <c r="D354" s="426"/>
      <c r="E354" s="426"/>
      <c r="F354" s="426"/>
      <c r="G354" s="426"/>
      <c r="H354" s="426"/>
      <c r="I354" s="426"/>
      <c r="J354" s="5">
        <f>ABS(ISERR(J353))</f>
        <v>1</v>
      </c>
      <c r="K354" s="5">
        <f>ABS(IF(J354=0,"1","0"))</f>
        <v>0</v>
      </c>
      <c r="L354" s="3">
        <v>1</v>
      </c>
      <c r="M354" s="1" t="s">
        <v>1864</v>
      </c>
      <c r="N354" s="1"/>
    </row>
    <row r="355" spans="1:14" x14ac:dyDescent="0.2">
      <c r="A355" s="1"/>
      <c r="B355" s="1"/>
      <c r="C355" s="1"/>
      <c r="D355" s="1"/>
      <c r="E355" s="1"/>
      <c r="F355" s="1"/>
      <c r="G355" s="1"/>
      <c r="H355" s="1"/>
      <c r="I355" s="1"/>
      <c r="J355" s="1"/>
      <c r="K355" s="1"/>
      <c r="L355" s="1"/>
      <c r="M355" s="1"/>
      <c r="N355" s="1"/>
    </row>
    <row r="356" spans="1:14" x14ac:dyDescent="0.2">
      <c r="A356" s="14"/>
      <c r="B356" s="14"/>
      <c r="C356" s="14"/>
      <c r="D356" s="14"/>
      <c r="E356" s="14"/>
      <c r="F356" s="14"/>
      <c r="G356" s="14"/>
      <c r="H356" s="14"/>
      <c r="I356" s="14"/>
      <c r="J356" s="1"/>
      <c r="K356" s="1"/>
      <c r="L356" s="1"/>
      <c r="M356" s="1"/>
      <c r="N356" s="1"/>
    </row>
    <row r="357" spans="1:14" x14ac:dyDescent="0.2">
      <c r="A357" s="1"/>
      <c r="B357" s="1"/>
      <c r="C357" s="1"/>
      <c r="D357" s="1"/>
      <c r="E357" s="1"/>
      <c r="F357" s="1"/>
      <c r="G357" s="1"/>
      <c r="H357" s="1"/>
      <c r="I357" s="1"/>
      <c r="J357" s="5" t="e">
        <f>SEARCH("SCC",F360)</f>
        <v>#VALUE!</v>
      </c>
      <c r="K357" s="1"/>
      <c r="L357" s="3"/>
      <c r="M357" s="1"/>
      <c r="N357" s="1"/>
    </row>
    <row r="358" spans="1:14" x14ac:dyDescent="0.2">
      <c r="A358" s="1" t="s">
        <v>307</v>
      </c>
      <c r="B358" s="1" t="s">
        <v>2605</v>
      </c>
      <c r="C358" s="6" t="s">
        <v>1743</v>
      </c>
      <c r="D358" s="1"/>
      <c r="E358" s="1"/>
      <c r="F358" s="1"/>
      <c r="G358" s="1"/>
      <c r="H358" s="10" t="s">
        <v>995</v>
      </c>
      <c r="I358" s="1"/>
      <c r="J358" s="5">
        <f>ABS(ISERR(J357))</f>
        <v>1</v>
      </c>
      <c r="K358" s="5">
        <f>ABS(IF(J358=0,"1","0"))</f>
        <v>0</v>
      </c>
      <c r="L358" s="3">
        <v>1</v>
      </c>
      <c r="M358" s="1" t="s">
        <v>1751</v>
      </c>
      <c r="N358" s="1"/>
    </row>
    <row r="359" spans="1:14" x14ac:dyDescent="0.2">
      <c r="A359" s="1"/>
      <c r="B359" s="1" t="s">
        <v>2606</v>
      </c>
      <c r="C359" s="54"/>
      <c r="D359" s="16" t="s">
        <v>1748</v>
      </c>
      <c r="E359" s="1"/>
      <c r="F359" s="12" t="s">
        <v>995</v>
      </c>
      <c r="G359" s="1"/>
      <c r="H359" s="54"/>
      <c r="I359" s="1"/>
      <c r="J359" s="5" t="e">
        <f>SEARCH("backoffice",H358)</f>
        <v>#VALUE!</v>
      </c>
      <c r="K359" s="1"/>
      <c r="L359" s="3"/>
      <c r="M359" s="1"/>
      <c r="N359" s="1"/>
    </row>
    <row r="360" spans="1:14" x14ac:dyDescent="0.2">
      <c r="A360" s="1"/>
      <c r="B360" s="1" t="s">
        <v>1764</v>
      </c>
      <c r="C360" s="55" t="s">
        <v>1745</v>
      </c>
      <c r="D360" s="16" t="s">
        <v>1749</v>
      </c>
      <c r="E360" s="1"/>
      <c r="F360" s="10" t="s">
        <v>995</v>
      </c>
      <c r="G360" s="1"/>
      <c r="H360" s="55" t="s">
        <v>1756</v>
      </c>
      <c r="I360" s="1"/>
      <c r="J360" s="5">
        <f>ABS(ISERR(J359))</f>
        <v>1</v>
      </c>
      <c r="K360" s="5">
        <f>ABS(IF(J360=0,"1","0"))</f>
        <v>0</v>
      </c>
      <c r="L360" s="3">
        <v>1</v>
      </c>
      <c r="M360" s="1" t="s">
        <v>1755</v>
      </c>
      <c r="N360" s="1"/>
    </row>
    <row r="361" spans="1:14" x14ac:dyDescent="0.2">
      <c r="A361" s="1"/>
      <c r="B361" s="1" t="s">
        <v>1765</v>
      </c>
      <c r="C361" s="55" t="s">
        <v>1746</v>
      </c>
      <c r="D361" s="410"/>
      <c r="E361" s="1"/>
      <c r="F361" s="87" t="s">
        <v>1752</v>
      </c>
      <c r="G361" s="1"/>
      <c r="H361" s="55" t="s">
        <v>1757</v>
      </c>
      <c r="I361" s="1"/>
      <c r="J361" s="1"/>
      <c r="K361" s="1"/>
      <c r="L361" s="1"/>
      <c r="M361" s="1"/>
      <c r="N361" s="1"/>
    </row>
    <row r="362" spans="1:14" x14ac:dyDescent="0.2">
      <c r="A362" s="1"/>
      <c r="B362" s="1" t="s">
        <v>1766</v>
      </c>
      <c r="C362" s="55" t="s">
        <v>1747</v>
      </c>
      <c r="D362" s="16" t="s">
        <v>1750</v>
      </c>
      <c r="F362" s="84"/>
      <c r="G362" s="1"/>
      <c r="H362" s="55" t="s">
        <v>1758</v>
      </c>
      <c r="I362" s="1"/>
      <c r="J362" s="1"/>
      <c r="K362" s="1"/>
      <c r="L362" s="1"/>
      <c r="M362" s="1"/>
      <c r="N362" s="1"/>
    </row>
    <row r="363" spans="1:14" x14ac:dyDescent="0.2">
      <c r="A363" s="1"/>
      <c r="B363" s="1" t="s">
        <v>1767</v>
      </c>
      <c r="C363" s="55" t="s">
        <v>1744</v>
      </c>
      <c r="D363" s="1"/>
      <c r="E363" s="1"/>
      <c r="F363" s="1"/>
      <c r="G363" s="1"/>
      <c r="H363" s="55" t="s">
        <v>1759</v>
      </c>
      <c r="I363" s="1"/>
      <c r="J363" s="1"/>
      <c r="K363" s="1"/>
      <c r="L363" s="1"/>
      <c r="M363" s="1"/>
      <c r="N363" s="1"/>
    </row>
    <row r="364" spans="1:14" x14ac:dyDescent="0.2">
      <c r="A364" s="1"/>
      <c r="B364" s="1" t="s">
        <v>1770</v>
      </c>
      <c r="C364" s="55" t="s">
        <v>995</v>
      </c>
      <c r="D364" s="1"/>
      <c r="E364" s="1"/>
      <c r="F364" s="1"/>
      <c r="G364" s="1"/>
      <c r="H364" s="55" t="s">
        <v>1760</v>
      </c>
      <c r="I364" s="1"/>
      <c r="J364" s="1"/>
      <c r="K364" s="1"/>
      <c r="L364" s="1"/>
      <c r="M364" s="1"/>
      <c r="N364" s="1"/>
    </row>
    <row r="365" spans="1:14" x14ac:dyDescent="0.2">
      <c r="A365" s="1"/>
      <c r="B365" s="1" t="s">
        <v>1768</v>
      </c>
      <c r="C365" s="55" t="s">
        <v>995</v>
      </c>
      <c r="D365" s="16" t="s">
        <v>1762</v>
      </c>
      <c r="E365" s="1"/>
      <c r="F365" s="12" t="s">
        <v>1753</v>
      </c>
      <c r="G365" s="1"/>
      <c r="H365" s="55" t="s">
        <v>995</v>
      </c>
      <c r="I365" s="1"/>
      <c r="J365" s="1"/>
      <c r="K365" s="1"/>
      <c r="L365" s="1"/>
      <c r="M365" s="1"/>
      <c r="N365" s="1"/>
    </row>
    <row r="366" spans="1:14" x14ac:dyDescent="0.2">
      <c r="A366" s="1"/>
      <c r="B366" s="1" t="s">
        <v>1769</v>
      </c>
      <c r="C366" s="55" t="s">
        <v>995</v>
      </c>
      <c r="D366" s="16" t="s">
        <v>1763</v>
      </c>
      <c r="E366" s="1"/>
      <c r="F366" s="87" t="s">
        <v>1754</v>
      </c>
      <c r="G366" s="1"/>
      <c r="H366" s="55" t="s">
        <v>1761</v>
      </c>
      <c r="I366" s="1"/>
      <c r="J366" s="1"/>
      <c r="K366" s="1"/>
      <c r="L366" s="1"/>
      <c r="M366" s="1"/>
      <c r="N366" s="1"/>
    </row>
    <row r="367" spans="1:14" x14ac:dyDescent="0.2">
      <c r="A367" s="1"/>
      <c r="B367" s="1"/>
      <c r="C367" s="28"/>
      <c r="D367" s="1"/>
      <c r="E367" s="1"/>
      <c r="F367" s="84"/>
      <c r="G367" s="1"/>
      <c r="H367" s="28" t="s">
        <v>576</v>
      </c>
      <c r="I367" s="1"/>
      <c r="J367" s="1"/>
      <c r="K367" s="1"/>
      <c r="L367" s="1"/>
      <c r="M367" s="1"/>
      <c r="N367" s="1"/>
    </row>
    <row r="368" spans="1:14" x14ac:dyDescent="0.2">
      <c r="A368" s="1"/>
      <c r="B368" s="1"/>
      <c r="C368" s="1"/>
      <c r="D368" s="1"/>
      <c r="E368" s="1"/>
      <c r="F368" s="1"/>
      <c r="G368" s="1"/>
      <c r="H368" s="1"/>
      <c r="I368" s="1"/>
      <c r="J368" s="1"/>
      <c r="K368" s="1"/>
      <c r="L368" s="1"/>
      <c r="M368" s="1"/>
      <c r="N368" s="1"/>
    </row>
    <row r="369" spans="1:14" x14ac:dyDescent="0.2">
      <c r="A369" s="1"/>
      <c r="B369" s="82" t="s">
        <v>1033</v>
      </c>
      <c r="C369" s="318" t="s">
        <v>995</v>
      </c>
      <c r="D369" s="1"/>
      <c r="E369" s="1"/>
      <c r="F369" s="1"/>
      <c r="G369" s="1"/>
      <c r="H369" s="1"/>
      <c r="I369" s="1"/>
      <c r="J369" s="73" t="s">
        <v>1771</v>
      </c>
      <c r="K369" s="1"/>
      <c r="L369" s="1"/>
      <c r="M369" s="1"/>
      <c r="N369" s="1"/>
    </row>
    <row r="370" spans="1:14" x14ac:dyDescent="0.2">
      <c r="A370" s="1"/>
      <c r="B370" s="1" t="str">
        <f>IF(C369="x",J369,"")</f>
        <v/>
      </c>
      <c r="C370" s="1"/>
      <c r="D370" s="1"/>
      <c r="E370" s="1"/>
      <c r="F370" s="1"/>
      <c r="G370" s="1"/>
      <c r="H370" s="1"/>
      <c r="I370" s="1"/>
      <c r="J370" s="1"/>
      <c r="K370" s="1"/>
      <c r="L370" s="1"/>
      <c r="M370" s="1"/>
      <c r="N370" s="1"/>
    </row>
    <row r="371" spans="1:14" x14ac:dyDescent="0.2">
      <c r="A371" s="14"/>
      <c r="B371" s="14"/>
      <c r="C371" s="14"/>
      <c r="D371" s="14"/>
      <c r="E371" s="14"/>
      <c r="F371" s="14"/>
      <c r="G371" s="14"/>
      <c r="H371" s="14"/>
      <c r="I371" s="14"/>
      <c r="J371" s="1"/>
      <c r="K371" s="1"/>
      <c r="L371" s="1"/>
      <c r="M371" s="1"/>
      <c r="N371" s="1"/>
    </row>
    <row r="372" spans="1:14" ht="13.5" thickBot="1" x14ac:dyDescent="0.25">
      <c r="A372" s="1"/>
      <c r="B372" s="1"/>
      <c r="C372" s="1"/>
      <c r="D372" s="1"/>
      <c r="E372" s="1"/>
      <c r="F372" s="1"/>
      <c r="G372" s="1"/>
      <c r="H372" s="1"/>
      <c r="I372" s="1"/>
      <c r="J372" s="1"/>
      <c r="K372" s="1"/>
      <c r="L372" s="12" t="s">
        <v>256</v>
      </c>
      <c r="M372" s="1"/>
      <c r="N372" s="1"/>
    </row>
    <row r="373" spans="1:14" ht="14.25" thickTop="1" thickBot="1" x14ac:dyDescent="0.25">
      <c r="A373" s="1"/>
      <c r="B373" s="6" t="s">
        <v>265</v>
      </c>
      <c r="C373" s="73">
        <f>L373</f>
        <v>91.5</v>
      </c>
      <c r="D373" s="1"/>
      <c r="E373" s="1"/>
      <c r="F373" s="1"/>
      <c r="G373" s="1"/>
      <c r="H373" s="1"/>
      <c r="I373" s="1"/>
      <c r="J373" s="16" t="s">
        <v>343</v>
      </c>
      <c r="K373" s="69">
        <f>SUM(K4:K368)</f>
        <v>0</v>
      </c>
      <c r="L373" s="70">
        <f>SUM(L14:L368)</f>
        <v>91.5</v>
      </c>
      <c r="M373" s="1"/>
      <c r="N373" s="1"/>
    </row>
    <row r="374" spans="1:14" ht="13.5" thickTop="1" x14ac:dyDescent="0.2">
      <c r="A374" s="1"/>
      <c r="B374" s="73" t="s">
        <v>2089</v>
      </c>
      <c r="C374" s="73">
        <f>L373/100</f>
        <v>0.91500000000000004</v>
      </c>
      <c r="D374" s="1"/>
      <c r="E374" s="1"/>
      <c r="F374" s="1"/>
      <c r="G374" s="1"/>
      <c r="H374" s="1"/>
      <c r="I374" s="1"/>
      <c r="J374" s="16" t="s">
        <v>344</v>
      </c>
      <c r="K374" s="71">
        <f>L373</f>
        <v>91.5</v>
      </c>
      <c r="L374" s="3"/>
      <c r="M374" s="1"/>
      <c r="N374" s="1"/>
    </row>
    <row r="375" spans="1:14" ht="13.5" thickBot="1" x14ac:dyDescent="0.25">
      <c r="A375" s="1"/>
      <c r="B375" s="54" t="s">
        <v>2137</v>
      </c>
      <c r="C375" s="74">
        <f>K373/C374</f>
        <v>0</v>
      </c>
      <c r="D375" s="1"/>
      <c r="E375" s="1"/>
      <c r="F375" s="1"/>
      <c r="G375" s="1"/>
      <c r="H375" s="1"/>
      <c r="I375" s="1"/>
      <c r="J375" s="1" t="s">
        <v>257</v>
      </c>
      <c r="K375" s="1">
        <f>(100/K374)</f>
        <v>1.0928961748633881</v>
      </c>
      <c r="L375" s="3"/>
      <c r="M375" s="1"/>
      <c r="N375" s="1"/>
    </row>
    <row r="376" spans="1:14" ht="17.25" thickTop="1" thickBot="1" x14ac:dyDescent="0.3">
      <c r="A376" s="1"/>
      <c r="B376" s="75" t="s">
        <v>266</v>
      </c>
      <c r="C376" s="78">
        <f>K376</f>
        <v>0</v>
      </c>
      <c r="D376" s="77" t="str">
        <f>J378</f>
        <v/>
      </c>
      <c r="E376" s="1"/>
      <c r="F376" s="1"/>
      <c r="G376" s="1"/>
      <c r="H376" s="1"/>
      <c r="I376" s="1"/>
      <c r="J376" s="1" t="s">
        <v>345</v>
      </c>
      <c r="K376" s="72">
        <f>K373*K375/10</f>
        <v>0</v>
      </c>
      <c r="L376" s="3"/>
      <c r="M376" s="1"/>
      <c r="N376" s="1"/>
    </row>
    <row r="377" spans="1:14" ht="13.5" thickTop="1" x14ac:dyDescent="0.2">
      <c r="A377" s="1"/>
      <c r="B377" s="1"/>
      <c r="C377" s="291" t="s">
        <v>995</v>
      </c>
      <c r="D377" s="1"/>
      <c r="E377" s="1"/>
      <c r="F377" s="1"/>
      <c r="G377" s="1"/>
      <c r="H377" s="1"/>
      <c r="I377" s="1"/>
      <c r="J377" s="1"/>
      <c r="K377" s="1"/>
      <c r="L377" s="3"/>
      <c r="M377" s="1"/>
      <c r="N377" s="1"/>
    </row>
    <row r="378" spans="1:14" x14ac:dyDescent="0.2">
      <c r="A378" s="1"/>
      <c r="B378" s="1"/>
      <c r="C378" s="1"/>
      <c r="D378" s="1"/>
      <c r="E378" s="1"/>
      <c r="F378" s="1"/>
      <c r="G378" s="1"/>
      <c r="H378" s="1"/>
      <c r="I378" s="1"/>
      <c r="J378" s="6" t="str">
        <f>IF(C376&gt;5.5,L378,"")</f>
        <v/>
      </c>
      <c r="K378" s="1"/>
      <c r="L378" s="3" t="s">
        <v>267</v>
      </c>
      <c r="M378" s="1"/>
      <c r="N378" s="1"/>
    </row>
    <row r="379" spans="1:14" x14ac:dyDescent="0.2">
      <c r="A379" s="1"/>
      <c r="B379" s="1" t="s">
        <v>2607</v>
      </c>
      <c r="C379" s="1"/>
      <c r="D379" s="1"/>
      <c r="E379" s="1"/>
      <c r="F379" s="1"/>
      <c r="G379" s="1"/>
      <c r="H379" s="1"/>
      <c r="I379" s="1"/>
      <c r="J379" s="1"/>
      <c r="K379" s="1"/>
      <c r="L379" s="1"/>
      <c r="M379" s="1"/>
      <c r="N379" s="1"/>
    </row>
    <row r="380" spans="1:14" x14ac:dyDescent="0.2">
      <c r="A380" s="1"/>
      <c r="B380" s="1"/>
      <c r="C380" s="1"/>
      <c r="D380" s="1"/>
      <c r="E380" s="1"/>
      <c r="F380" s="1"/>
      <c r="G380" s="1"/>
      <c r="H380" s="1"/>
      <c r="I380" s="1"/>
      <c r="J380" s="1"/>
      <c r="K380" s="1"/>
      <c r="L380" s="1"/>
      <c r="M380" s="1"/>
      <c r="N380" s="1"/>
    </row>
    <row r="381" spans="1:14" x14ac:dyDescent="0.2">
      <c r="A381" s="1"/>
      <c r="B381" s="1" t="s">
        <v>1772</v>
      </c>
      <c r="C381" s="1"/>
      <c r="D381" s="1"/>
      <c r="E381" s="1"/>
      <c r="F381" s="1"/>
      <c r="G381" s="1"/>
      <c r="H381" s="1"/>
      <c r="I381" s="1"/>
      <c r="J381" s="1"/>
      <c r="K381" s="1"/>
      <c r="L381" s="1"/>
      <c r="M381" s="1"/>
      <c r="N381" s="1"/>
    </row>
    <row r="382" spans="1:14" x14ac:dyDescent="0.2">
      <c r="A382" s="1"/>
      <c r="B382" s="1"/>
      <c r="C382" s="1"/>
      <c r="D382" s="1"/>
      <c r="E382" s="1"/>
      <c r="F382" s="1"/>
      <c r="G382" s="1"/>
      <c r="H382" s="1"/>
      <c r="I382" s="1"/>
      <c r="J382" s="1"/>
      <c r="K382" s="1"/>
      <c r="L382" s="1"/>
      <c r="M382" s="1"/>
      <c r="N382" s="1"/>
    </row>
    <row r="383" spans="1:14" x14ac:dyDescent="0.2">
      <c r="A383" s="1"/>
      <c r="B383" s="1"/>
      <c r="C383" s="1"/>
      <c r="D383" s="1"/>
      <c r="E383" s="1"/>
      <c r="F383" s="1"/>
      <c r="G383" s="1"/>
      <c r="H383" s="1"/>
      <c r="I383" s="1"/>
      <c r="J383" s="1"/>
      <c r="K383" s="1"/>
      <c r="L383" s="1"/>
      <c r="M383" s="1"/>
      <c r="N383" s="1"/>
    </row>
    <row r="384" spans="1:14" x14ac:dyDescent="0.2">
      <c r="A384" s="1"/>
      <c r="B384" s="1"/>
      <c r="C384" s="1"/>
      <c r="D384" s="1"/>
      <c r="E384" s="1"/>
      <c r="F384" s="1"/>
      <c r="G384" s="1"/>
      <c r="H384" s="1"/>
      <c r="I384" s="1"/>
      <c r="J384" s="1"/>
      <c r="K384" s="1"/>
      <c r="L384" s="1"/>
      <c r="M384" s="1"/>
      <c r="N384" s="1"/>
    </row>
    <row r="385" spans="1:14" x14ac:dyDescent="0.2">
      <c r="A385" s="1"/>
      <c r="B385" s="1"/>
      <c r="C385" s="1"/>
      <c r="D385" s="1"/>
      <c r="E385" s="1"/>
      <c r="F385" s="1"/>
      <c r="G385" s="1"/>
      <c r="H385" s="1"/>
      <c r="I385" s="1"/>
      <c r="J385" s="1"/>
      <c r="K385" s="1"/>
      <c r="L385" s="1"/>
      <c r="M385" s="1"/>
      <c r="N385" s="1"/>
    </row>
    <row r="386" spans="1:14" x14ac:dyDescent="0.2">
      <c r="A386" s="1"/>
      <c r="B386" s="1"/>
      <c r="C386" s="1"/>
      <c r="D386" s="1"/>
      <c r="E386" s="1"/>
      <c r="F386" s="1"/>
      <c r="G386" s="1"/>
      <c r="H386" s="1"/>
      <c r="I386" s="1"/>
      <c r="J386" s="1"/>
      <c r="K386" s="1"/>
      <c r="L386" s="1"/>
      <c r="M386" s="1"/>
      <c r="N386" s="1"/>
    </row>
    <row r="387" spans="1:14" x14ac:dyDescent="0.2">
      <c r="A387" s="1"/>
      <c r="B387" s="1"/>
      <c r="C387" s="1"/>
      <c r="D387" s="1"/>
      <c r="E387" s="1"/>
      <c r="F387" s="1"/>
      <c r="G387" s="1"/>
      <c r="H387" s="1"/>
      <c r="I387" s="1"/>
      <c r="J387" s="1"/>
      <c r="K387" s="1"/>
      <c r="L387" s="1"/>
      <c r="M387" s="1"/>
      <c r="N387" s="1"/>
    </row>
    <row r="388" spans="1:14" x14ac:dyDescent="0.2">
      <c r="A388" s="1"/>
      <c r="B388" s="1"/>
      <c r="C388" s="1"/>
      <c r="D388" s="1"/>
      <c r="E388" s="1"/>
      <c r="F388" s="1"/>
      <c r="G388" s="1"/>
      <c r="H388" s="1"/>
      <c r="I388" s="1"/>
      <c r="J388" s="1"/>
      <c r="K388" s="1"/>
      <c r="L388" s="1"/>
      <c r="M388" s="1"/>
      <c r="N388" s="1"/>
    </row>
    <row r="389" spans="1:14" x14ac:dyDescent="0.2">
      <c r="A389" s="1"/>
      <c r="B389" s="1"/>
      <c r="C389" s="1"/>
      <c r="D389" s="1"/>
      <c r="E389" s="1"/>
      <c r="F389" s="1"/>
      <c r="G389" s="1"/>
      <c r="H389" s="1"/>
      <c r="I389" s="1"/>
      <c r="J389" s="1"/>
      <c r="K389" s="1"/>
      <c r="L389" s="1"/>
      <c r="M389" s="1"/>
      <c r="N389" s="1"/>
    </row>
    <row r="390" spans="1:14" x14ac:dyDescent="0.2">
      <c r="A390" s="1"/>
      <c r="B390" s="1"/>
      <c r="C390" s="1"/>
      <c r="D390" s="1"/>
      <c r="E390" s="1"/>
      <c r="F390" s="1"/>
      <c r="G390" s="1"/>
      <c r="H390" s="1"/>
      <c r="I390" s="1"/>
      <c r="J390" s="1"/>
      <c r="K390" s="1"/>
      <c r="L390" s="1"/>
      <c r="M390" s="1"/>
      <c r="N390" s="1"/>
    </row>
    <row r="391" spans="1:14" x14ac:dyDescent="0.2">
      <c r="A391" s="1"/>
      <c r="B391" s="1"/>
      <c r="C391" s="1"/>
      <c r="D391" s="1"/>
      <c r="E391" s="1"/>
      <c r="F391" s="1"/>
      <c r="G391" s="1"/>
      <c r="H391" s="1"/>
      <c r="I391" s="1"/>
      <c r="J391" s="1"/>
      <c r="K391" s="1"/>
      <c r="L391" s="1"/>
      <c r="M391" s="1"/>
      <c r="N391" s="1"/>
    </row>
    <row r="392" spans="1:14" x14ac:dyDescent="0.2">
      <c r="A392" s="1"/>
      <c r="B392" s="1"/>
      <c r="C392" s="1"/>
      <c r="D392" s="1"/>
      <c r="E392" s="1"/>
      <c r="F392" s="1"/>
      <c r="G392" s="1"/>
      <c r="H392" s="1"/>
      <c r="I392" s="1"/>
      <c r="J392" s="1"/>
      <c r="K392" s="1"/>
      <c r="L392" s="1"/>
      <c r="M392" s="1"/>
      <c r="N392" s="1"/>
    </row>
    <row r="393" spans="1:14" x14ac:dyDescent="0.2">
      <c r="A393" s="1"/>
      <c r="B393" s="1"/>
      <c r="C393" s="1"/>
      <c r="D393" s="1"/>
      <c r="E393" s="1"/>
      <c r="F393" s="1"/>
      <c r="G393" s="1"/>
      <c r="H393" s="1"/>
      <c r="I393" s="1"/>
      <c r="J393" s="1"/>
      <c r="K393" s="1"/>
      <c r="L393" s="1"/>
      <c r="M393" s="1"/>
      <c r="N393" s="1"/>
    </row>
    <row r="394" spans="1:14" x14ac:dyDescent="0.2">
      <c r="A394" s="1"/>
      <c r="B394" s="1"/>
      <c r="C394" s="1"/>
      <c r="D394" s="1"/>
      <c r="E394" s="1"/>
      <c r="F394" s="1"/>
      <c r="G394" s="1"/>
      <c r="H394" s="1"/>
      <c r="I394" s="1"/>
      <c r="J394" s="1"/>
      <c r="K394" s="1"/>
      <c r="L394" s="1"/>
      <c r="M394" s="1"/>
      <c r="N394" s="1"/>
    </row>
    <row r="395" spans="1:14" x14ac:dyDescent="0.2">
      <c r="A395" s="1"/>
      <c r="B395" s="1"/>
      <c r="C395" s="1"/>
      <c r="D395" s="1"/>
      <c r="E395" s="1"/>
      <c r="F395" s="1"/>
      <c r="G395" s="1"/>
      <c r="H395" s="1"/>
      <c r="I395" s="1"/>
      <c r="J395" s="1"/>
      <c r="K395" s="1"/>
      <c r="L395" s="1"/>
      <c r="M395" s="1"/>
      <c r="N395" s="1"/>
    </row>
    <row r="396" spans="1:14" x14ac:dyDescent="0.2">
      <c r="A396" s="1"/>
      <c r="B396" s="1"/>
      <c r="C396" s="1"/>
      <c r="D396" s="1"/>
      <c r="E396" s="1"/>
      <c r="F396" s="1"/>
      <c r="G396" s="1"/>
      <c r="H396" s="1"/>
      <c r="I396" s="1"/>
      <c r="J396" s="1"/>
      <c r="K396" s="1"/>
      <c r="L396" s="1"/>
      <c r="M396" s="1"/>
      <c r="N396" s="1"/>
    </row>
    <row r="397" spans="1:14" x14ac:dyDescent="0.2">
      <c r="A397" s="1"/>
      <c r="B397" s="1"/>
      <c r="C397" s="1"/>
      <c r="D397" s="1"/>
      <c r="E397" s="1"/>
      <c r="F397" s="1"/>
      <c r="G397" s="1"/>
      <c r="H397" s="1"/>
      <c r="I397" s="1"/>
      <c r="J397" s="1"/>
      <c r="K397" s="1"/>
      <c r="L397" s="1"/>
      <c r="M397" s="1"/>
      <c r="N397" s="1"/>
    </row>
    <row r="398" spans="1:14" x14ac:dyDescent="0.2">
      <c r="A398" s="1"/>
      <c r="B398" s="1"/>
      <c r="C398" s="1"/>
      <c r="D398" s="1"/>
      <c r="E398" s="1"/>
      <c r="F398" s="1"/>
      <c r="G398" s="1"/>
      <c r="H398" s="1"/>
      <c r="I398" s="1"/>
      <c r="J398" s="1"/>
      <c r="K398" s="1"/>
      <c r="L398" s="1"/>
      <c r="M398" s="1"/>
      <c r="N398" s="1"/>
    </row>
    <row r="399" spans="1:14" x14ac:dyDescent="0.2">
      <c r="A399" s="1"/>
      <c r="B399" s="1"/>
      <c r="C399" s="1"/>
      <c r="D399" s="1"/>
      <c r="E399" s="1"/>
      <c r="F399" s="1"/>
      <c r="G399" s="1"/>
      <c r="H399" s="1"/>
      <c r="I399" s="1"/>
      <c r="J399" s="1"/>
      <c r="K399" s="1"/>
      <c r="L399" s="1"/>
      <c r="M399" s="1"/>
      <c r="N399" s="1"/>
    </row>
    <row r="400" spans="1:14" x14ac:dyDescent="0.2">
      <c r="A400" s="1"/>
      <c r="B400" s="1"/>
      <c r="C400" s="1"/>
      <c r="D400" s="1"/>
      <c r="E400" s="1"/>
      <c r="F400" s="1"/>
      <c r="G400" s="1"/>
      <c r="H400" s="1"/>
      <c r="I400" s="1"/>
      <c r="J400" s="1"/>
      <c r="K400" s="1"/>
      <c r="L400" s="1"/>
      <c r="M400" s="1"/>
      <c r="N400" s="1"/>
    </row>
    <row r="401" spans="1:14" x14ac:dyDescent="0.2">
      <c r="A401" s="1"/>
      <c r="B401" s="1"/>
      <c r="C401" s="1"/>
      <c r="D401" s="1"/>
      <c r="E401" s="1"/>
      <c r="F401" s="1"/>
      <c r="G401" s="1"/>
      <c r="H401" s="1"/>
      <c r="I401" s="1"/>
      <c r="J401" s="1"/>
      <c r="K401" s="1"/>
      <c r="L401" s="1"/>
      <c r="M401" s="1"/>
      <c r="N401" s="1"/>
    </row>
    <row r="402" spans="1:14" x14ac:dyDescent="0.2">
      <c r="A402" s="1"/>
      <c r="B402" s="1"/>
      <c r="C402" s="1"/>
      <c r="D402" s="1"/>
      <c r="E402" s="1"/>
      <c r="F402" s="1"/>
      <c r="G402" s="1"/>
      <c r="H402" s="1"/>
      <c r="I402" s="1"/>
      <c r="J402" s="1"/>
      <c r="K402" s="1"/>
      <c r="L402" s="1"/>
      <c r="M402" s="1"/>
      <c r="N402" s="1"/>
    </row>
    <row r="403" spans="1:14" x14ac:dyDescent="0.2">
      <c r="A403" s="1"/>
      <c r="B403" s="1"/>
      <c r="C403" s="1"/>
      <c r="D403" s="1"/>
      <c r="E403" s="1"/>
      <c r="F403" s="1"/>
      <c r="G403" s="1"/>
      <c r="H403" s="1"/>
      <c r="I403" s="1"/>
      <c r="J403" s="1"/>
      <c r="K403" s="1"/>
      <c r="L403" s="1"/>
      <c r="M403" s="1"/>
      <c r="N403" s="1"/>
    </row>
    <row r="404" spans="1:14" x14ac:dyDescent="0.2">
      <c r="A404" s="1"/>
      <c r="B404" s="1"/>
      <c r="C404" s="1"/>
      <c r="D404" s="1"/>
      <c r="E404" s="1"/>
      <c r="F404" s="1"/>
      <c r="G404" s="1"/>
      <c r="H404" s="1"/>
      <c r="I404" s="1"/>
      <c r="J404" s="1"/>
      <c r="K404" s="1"/>
      <c r="L404" s="1"/>
      <c r="M404" s="1"/>
      <c r="N404" s="1"/>
    </row>
    <row r="405" spans="1:14" x14ac:dyDescent="0.2">
      <c r="A405" s="1"/>
      <c r="B405" s="1"/>
      <c r="C405" s="1"/>
      <c r="D405" s="1"/>
      <c r="E405" s="1"/>
      <c r="F405" s="1"/>
      <c r="G405" s="1"/>
      <c r="H405" s="1"/>
      <c r="I405" s="1"/>
      <c r="J405" s="1"/>
      <c r="K405" s="1"/>
      <c r="L405" s="1"/>
      <c r="M405" s="1"/>
      <c r="N405" s="1"/>
    </row>
    <row r="406" spans="1:14" x14ac:dyDescent="0.2">
      <c r="A406" s="1"/>
      <c r="B406" s="1"/>
      <c r="C406" s="1"/>
      <c r="D406" s="1"/>
      <c r="E406" s="1"/>
      <c r="F406" s="1"/>
      <c r="G406" s="1"/>
      <c r="H406" s="1"/>
      <c r="I406" s="1"/>
      <c r="J406" s="1"/>
      <c r="K406" s="1"/>
      <c r="L406" s="1"/>
      <c r="M406" s="1"/>
      <c r="N406" s="1"/>
    </row>
    <row r="407" spans="1:14" x14ac:dyDescent="0.2">
      <c r="A407" s="1"/>
      <c r="B407" s="1"/>
      <c r="C407" s="1"/>
      <c r="D407" s="1"/>
      <c r="E407" s="1"/>
      <c r="F407" s="1"/>
      <c r="G407" s="1"/>
      <c r="H407" s="1"/>
      <c r="I407" s="1"/>
      <c r="J407" s="1"/>
      <c r="K407" s="1"/>
      <c r="L407" s="1"/>
      <c r="M407" s="1"/>
      <c r="N407" s="1"/>
    </row>
    <row r="408" spans="1:14" x14ac:dyDescent="0.2">
      <c r="A408" s="1"/>
      <c r="B408" s="1"/>
      <c r="C408" s="1"/>
      <c r="D408" s="1"/>
      <c r="E408" s="1"/>
      <c r="F408" s="1"/>
      <c r="G408" s="1"/>
      <c r="H408" s="1"/>
      <c r="I408" s="1"/>
      <c r="J408" s="1"/>
      <c r="K408" s="1"/>
      <c r="L408" s="1"/>
      <c r="M408" s="1"/>
      <c r="N408" s="1"/>
    </row>
    <row r="409" spans="1:14" x14ac:dyDescent="0.2">
      <c r="A409" s="1"/>
      <c r="B409" s="1"/>
      <c r="C409" s="1"/>
      <c r="D409" s="1"/>
      <c r="E409" s="1"/>
      <c r="F409" s="1"/>
      <c r="G409" s="1"/>
      <c r="H409" s="1"/>
      <c r="I409" s="1"/>
      <c r="J409" s="1"/>
      <c r="K409" s="1"/>
      <c r="L409" s="1"/>
      <c r="M409" s="1"/>
      <c r="N409" s="1"/>
    </row>
    <row r="410" spans="1:14" x14ac:dyDescent="0.2">
      <c r="A410" s="1"/>
      <c r="B410" s="1"/>
      <c r="C410" s="1"/>
      <c r="D410" s="1"/>
      <c r="E410" s="1"/>
      <c r="F410" s="1"/>
      <c r="G410" s="1"/>
      <c r="H410" s="1"/>
      <c r="I410" s="1"/>
      <c r="J410" s="1"/>
      <c r="K410" s="1"/>
      <c r="L410" s="1"/>
      <c r="M410" s="1"/>
      <c r="N410" s="1"/>
    </row>
    <row r="411" spans="1:14" x14ac:dyDescent="0.2">
      <c r="A411" s="1"/>
      <c r="B411" s="1"/>
      <c r="C411" s="1"/>
      <c r="D411" s="1"/>
      <c r="E411" s="1"/>
      <c r="F411" s="1"/>
      <c r="G411" s="1"/>
      <c r="H411" s="1"/>
      <c r="I411" s="1"/>
      <c r="J411" s="1"/>
      <c r="K411" s="1"/>
      <c r="L411" s="1"/>
      <c r="M411" s="1"/>
      <c r="N411" s="1"/>
    </row>
    <row r="412" spans="1:14" x14ac:dyDescent="0.2">
      <c r="A412" s="1"/>
      <c r="B412" s="1"/>
      <c r="C412" s="1"/>
      <c r="D412" s="1"/>
      <c r="E412" s="1"/>
      <c r="F412" s="1"/>
      <c r="G412" s="1"/>
      <c r="H412" s="1"/>
      <c r="I412" s="1"/>
      <c r="J412" s="1"/>
      <c r="K412" s="1"/>
      <c r="L412" s="1"/>
      <c r="M412" s="1"/>
      <c r="N412" s="1"/>
    </row>
    <row r="413" spans="1:14" x14ac:dyDescent="0.2">
      <c r="A413" s="1"/>
      <c r="B413" s="1"/>
      <c r="C413" s="1"/>
      <c r="D413" s="1"/>
      <c r="E413" s="1"/>
      <c r="F413" s="1"/>
      <c r="G413" s="1"/>
      <c r="H413" s="1"/>
      <c r="I413" s="1"/>
      <c r="J413" s="1"/>
      <c r="K413" s="1"/>
      <c r="L413" s="1"/>
      <c r="M413" s="1"/>
      <c r="N413" s="1"/>
    </row>
    <row r="414" spans="1:14" x14ac:dyDescent="0.2">
      <c r="A414" s="1"/>
      <c r="B414" s="1"/>
      <c r="C414" s="1"/>
      <c r="D414" s="1"/>
      <c r="E414" s="1"/>
      <c r="F414" s="1"/>
      <c r="G414" s="1"/>
      <c r="H414" s="1"/>
      <c r="I414" s="1"/>
      <c r="J414" s="1"/>
      <c r="K414" s="1"/>
      <c r="L414" s="1"/>
      <c r="M414" s="1"/>
      <c r="N414" s="1"/>
    </row>
    <row r="415" spans="1:14" x14ac:dyDescent="0.2">
      <c r="A415" s="1"/>
      <c r="B415" s="1"/>
      <c r="C415" s="1"/>
      <c r="D415" s="1"/>
      <c r="E415" s="1"/>
      <c r="F415" s="1"/>
      <c r="G415" s="1"/>
      <c r="H415" s="1"/>
      <c r="I415" s="1"/>
      <c r="J415" s="1"/>
      <c r="K415" s="1"/>
      <c r="L415" s="1"/>
      <c r="M415" s="1"/>
      <c r="N415" s="1"/>
    </row>
    <row r="416" spans="1:14" x14ac:dyDescent="0.2">
      <c r="A416" s="1"/>
      <c r="B416" s="1"/>
      <c r="C416" s="1"/>
      <c r="D416" s="1"/>
      <c r="E416" s="1"/>
      <c r="F416" s="1"/>
      <c r="G416" s="1"/>
      <c r="H416" s="1"/>
      <c r="I416" s="1"/>
      <c r="J416" s="1"/>
      <c r="K416" s="1"/>
      <c r="L416" s="1"/>
      <c r="M416" s="1"/>
      <c r="N416" s="1"/>
    </row>
    <row r="417" spans="1:14" x14ac:dyDescent="0.2">
      <c r="A417" s="1"/>
      <c r="B417" s="1"/>
      <c r="C417" s="1"/>
      <c r="D417" s="1"/>
      <c r="E417" s="1"/>
      <c r="F417" s="1"/>
      <c r="G417" s="1"/>
      <c r="H417" s="1"/>
      <c r="I417" s="1"/>
      <c r="J417" s="1"/>
      <c r="K417" s="1"/>
      <c r="L417" s="1"/>
      <c r="M417" s="1"/>
      <c r="N417" s="1"/>
    </row>
  </sheetData>
  <sheetProtection password="D06F" sheet="1" objects="1" scenarios="1"/>
  <phoneticPr fontId="2" type="noConversion"/>
  <conditionalFormatting sqref="D376">
    <cfRule type="cellIs" dxfId="42" priority="20" stopIfTrue="1" operator="equal">
      <formula>"gefeliciteerd!"</formula>
    </cfRule>
  </conditionalFormatting>
  <conditionalFormatting sqref="B317">
    <cfRule type="expression" dxfId="41" priority="21" stopIfTrue="1">
      <formula>$C$316="x"</formula>
    </cfRule>
  </conditionalFormatting>
  <conditionalFormatting sqref="D241 C242 C244 D245 C247 D249 D251 C199:E199 D165 C168 D171 D174 C175 D176 D178 D180 D182 C183 D185 D187:D188 C190 C200:D201 E200 G210 D210:E210 E220:G220 E230:G230 E261:G261 G263 C261 C265:D265 D274 D277 C279 D281 C282 C284 D286 D313:F313 E321:G321 D157 C159 C161 D163 D136 F136:G136 C56 C48 D49:D50 C51 D54 D59 C60 D61 D63 D65 C68 D71:D74 C20:C21 C40 C16:C17 C24 C27 C29 C38 C31 D18:D19 D25 D33:D34 D36 D22 D76 C80:C81 D82 D84 D86 C87 D90 C92 D95 C97 D99 C100 C109 C111:C113 D110 D114 D117:D118 C115:C116 C119:C120 C126:C129 D121 D124:D125 C122:C123 G145 D145:E145 F199:G201 C263:E263 F265:G265">
    <cfRule type="cellIs" dxfId="40" priority="22" stopIfTrue="1" operator="equal">
      <formula>"x"</formula>
    </cfRule>
  </conditionalFormatting>
  <conditionalFormatting sqref="C241 D242 D244 C245 D247 C249 C251 F199 C165 D168 C171 C174 D175 C176 C178 C180 C182 D183 C185 C187:C188 D190 E201 F210 D220 D230 D261 G265 E263:F263 E265 C274 C277 D279 C281 D282 D284 C286 G313 D321 C157 D159 D161 C163 E136 D48 C49:C50 D51 C54 D56 C59 D60 C61 C63 C65 D68 D20:D21 C74 D16:D17 D24 D27 D29 D31 D38 D40 C18:C19 C25 C33:C34 C36 C22 C71:C72 C76 D80:D81 C82 C84 C86 D87 C90 D92 C95 D97 C99 D100 D109 D111:D113 C110 C114 C117:C118 D115:D116 D119:D120 D126:D129 C121 C124:C125 D122:D123 F145 G199:G200 C200">
    <cfRule type="cellIs" dxfId="39" priority="23" stopIfTrue="1" operator="equal">
      <formula>"x"</formula>
    </cfRule>
  </conditionalFormatting>
  <conditionalFormatting sqref="B235">
    <cfRule type="expression" dxfId="38" priority="24" stopIfTrue="1">
      <formula>$C$234="x"</formula>
    </cfRule>
  </conditionalFormatting>
  <conditionalFormatting sqref="E239">
    <cfRule type="expression" dxfId="37" priority="25" stopIfTrue="1">
      <formula>$C$253="x"</formula>
    </cfRule>
  </conditionalFormatting>
  <conditionalFormatting sqref="E245 E249 E251 E241">
    <cfRule type="expression" dxfId="36" priority="26" stopIfTrue="1">
      <formula>$C$253="x"</formula>
    </cfRule>
  </conditionalFormatting>
  <conditionalFormatting sqref="B224">
    <cfRule type="expression" dxfId="35" priority="27" stopIfTrue="1">
      <formula>$C$223="x"</formula>
    </cfRule>
  </conditionalFormatting>
  <conditionalFormatting sqref="B214">
    <cfRule type="expression" dxfId="34" priority="28" stopIfTrue="1">
      <formula>$C$213="x"</formula>
    </cfRule>
  </conditionalFormatting>
  <conditionalFormatting sqref="B141">
    <cfRule type="expression" dxfId="33" priority="29" stopIfTrue="1">
      <formula>$C$140="x"</formula>
    </cfRule>
  </conditionalFormatting>
  <conditionalFormatting sqref="E36 E25 E33:E34 E22 E18:E19">
    <cfRule type="expression" dxfId="32" priority="30" stopIfTrue="1">
      <formula>$C$42="x"</formula>
    </cfRule>
  </conditionalFormatting>
  <conditionalFormatting sqref="E15">
    <cfRule type="expression" dxfId="31" priority="31" stopIfTrue="1">
      <formula>$C$42="x"</formula>
    </cfRule>
  </conditionalFormatting>
  <conditionalFormatting sqref="E47">
    <cfRule type="expression" dxfId="30" priority="32" stopIfTrue="1">
      <formula>$C$73="x"</formula>
    </cfRule>
  </conditionalFormatting>
  <conditionalFormatting sqref="E59 E54 E61 E71 E63 E65 E49:E50">
    <cfRule type="expression" dxfId="29" priority="33" stopIfTrue="1">
      <formula>$C$73="x"</formula>
    </cfRule>
  </conditionalFormatting>
  <conditionalFormatting sqref="E78">
    <cfRule type="expression" dxfId="28" priority="34" stopIfTrue="1">
      <formula>$C$102="x"</formula>
    </cfRule>
  </conditionalFormatting>
  <conditionalFormatting sqref="E86 E84 E95 E90 E99 E82">
    <cfRule type="expression" dxfId="27" priority="35" stopIfTrue="1">
      <formula>$C$102="x"</formula>
    </cfRule>
  </conditionalFormatting>
  <conditionalFormatting sqref="E108">
    <cfRule type="expression" dxfId="26" priority="36" stopIfTrue="1">
      <formula>$C$131="x"</formula>
    </cfRule>
  </conditionalFormatting>
  <conditionalFormatting sqref="E124:E125 E121 E117:E118 E114 E110">
    <cfRule type="expression" dxfId="25" priority="37" stopIfTrue="1">
      <formula>$C$131="x"</formula>
    </cfRule>
  </conditionalFormatting>
  <conditionalFormatting sqref="B149">
    <cfRule type="expression" dxfId="24" priority="38" stopIfTrue="1">
      <formula>$C$148="x"</formula>
    </cfRule>
  </conditionalFormatting>
  <conditionalFormatting sqref="E180 E157 E187:E188 E185 E163 E174 E165 E176 E171 E182 E178">
    <cfRule type="expression" dxfId="23" priority="40" stopIfTrue="1">
      <formula>$C$192="x"</formula>
    </cfRule>
  </conditionalFormatting>
  <conditionalFormatting sqref="E203:F203">
    <cfRule type="expression" dxfId="22" priority="41" stopIfTrue="1">
      <formula>$C$203="x"</formula>
    </cfRule>
  </conditionalFormatting>
  <conditionalFormatting sqref="E267:F267">
    <cfRule type="expression" dxfId="21" priority="42" stopIfTrue="1">
      <formula>$C$267="x"</formula>
    </cfRule>
  </conditionalFormatting>
  <conditionalFormatting sqref="E272">
    <cfRule type="expression" dxfId="20" priority="43" stopIfTrue="1">
      <formula>$C$288="x"</formula>
    </cfRule>
  </conditionalFormatting>
  <conditionalFormatting sqref="E274 E277 E281 E286">
    <cfRule type="expression" dxfId="19" priority="44" stopIfTrue="1">
      <formula>$C$288="x"</formula>
    </cfRule>
  </conditionalFormatting>
  <conditionalFormatting sqref="C297">
    <cfRule type="expression" dxfId="18" priority="45" stopIfTrue="1">
      <formula>$C$299="x"</formula>
    </cfRule>
  </conditionalFormatting>
  <conditionalFormatting sqref="D305:G305">
    <cfRule type="expression" dxfId="17" priority="46" stopIfTrue="1">
      <formula>$C$308="x"</formula>
    </cfRule>
  </conditionalFormatting>
  <conditionalFormatting sqref="B326">
    <cfRule type="expression" dxfId="16" priority="47" stopIfTrue="1">
      <formula>$C$325="x"</formula>
    </cfRule>
  </conditionalFormatting>
  <conditionalFormatting sqref="B370">
    <cfRule type="expression" dxfId="15" priority="48" stopIfTrue="1">
      <formula>$C$369="x"</formula>
    </cfRule>
  </conditionalFormatting>
  <conditionalFormatting sqref="E16:E17 E20:E21 E24 E27 E29 E31 E38 E40">
    <cfRule type="expression" dxfId="14" priority="19">
      <formula>$C$42="x"</formula>
    </cfRule>
  </conditionalFormatting>
  <conditionalFormatting sqref="E48 E51 E56 E60 E68">
    <cfRule type="expression" dxfId="13" priority="18">
      <formula>$C$73="x"</formula>
    </cfRule>
  </conditionalFormatting>
  <conditionalFormatting sqref="E80:E81 E87 E92 E97 E100">
    <cfRule type="expression" dxfId="12" priority="17">
      <formula>$C$102="x"</formula>
    </cfRule>
  </conditionalFormatting>
  <conditionalFormatting sqref="E109 E111:E113 E115:E116 E119:E120 E122:E123 E126:E129">
    <cfRule type="expression" dxfId="11" priority="16">
      <formula>$C$131="x"</formula>
    </cfRule>
  </conditionalFormatting>
  <conditionalFormatting sqref="E168 E159 E161 E175 E183 E190">
    <cfRule type="expression" dxfId="10" priority="15">
      <formula>$C$192="x"</formula>
    </cfRule>
  </conditionalFormatting>
  <conditionalFormatting sqref="E154">
    <cfRule type="expression" dxfId="9" priority="376" stopIfTrue="1">
      <formula>$C$192="x"</formula>
    </cfRule>
  </conditionalFormatting>
  <conditionalFormatting sqref="E242 E244 E247">
    <cfRule type="expression" dxfId="8" priority="10">
      <formula>$C$253="x"</formula>
    </cfRule>
  </conditionalFormatting>
  <conditionalFormatting sqref="E279 E282 E284">
    <cfRule type="expression" dxfId="7" priority="7">
      <formula>$C$288="x"</formula>
    </cfRule>
  </conditionalFormatting>
  <conditionalFormatting sqref="E334:E337 D337:D338 D334:D335 C334 C336:C338">
    <cfRule type="cellIs" dxfId="6" priority="6" operator="equal">
      <formula>"x"</formula>
    </cfRule>
  </conditionalFormatting>
  <conditionalFormatting sqref="C335 D336 E338">
    <cfRule type="cellIs" dxfId="5" priority="5" operator="equal">
      <formula>"x"</formula>
    </cfRule>
  </conditionalFormatting>
  <conditionalFormatting sqref="F335:F336 F338">
    <cfRule type="expression" dxfId="4" priority="4">
      <formula>$C$340="x"</formula>
    </cfRule>
  </conditionalFormatting>
  <conditionalFormatting sqref="D344 D345:H348">
    <cfRule type="expression" dxfId="3" priority="686">
      <formula>$C$351="x"</formula>
    </cfRule>
  </conditionalFormatting>
  <hyperlinks>
    <hyperlink ref="B21" r:id="rId1" display="De afkorting CAO staat voor: Convenant ArbeidsOverleg."/>
    <hyperlink ref="B77" r:id="rId2" display="Enkele omtrent de flexwet (kruis het juiste antwoord aan):"/>
    <hyperlink ref="B118" r:id="rId3"/>
    <hyperlink ref="G244" r:id="rId4"/>
    <hyperlink ref="B47" r:id="rId5"/>
  </hyperlinks>
  <pageMargins left="0.75" right="0.75" top="1" bottom="1" header="0.5" footer="0.5"/>
  <pageSetup paperSize="9" orientation="portrait" horizontalDpi="4294967292" verticalDpi="4294967292"/>
  <headerFooter alignWithMargins="0"/>
  <ignoredErrors>
    <ignoredError sqref="J20 J60 J110 J114 J121 J175" formula="1"/>
  </ignoredErrors>
  <drawing r:id="rId6"/>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3"/>
  <sheetViews>
    <sheetView zoomScale="150" zoomScaleNormal="150" zoomScalePageLayoutView="150" workbookViewId="0"/>
  </sheetViews>
  <sheetFormatPr defaultColWidth="8.85546875" defaultRowHeight="12.75" x14ac:dyDescent="0.2"/>
  <cols>
    <col min="1" max="1" width="4" customWidth="1"/>
    <col min="2" max="2" width="27.28515625" customWidth="1"/>
    <col min="4" max="4" width="15.140625" customWidth="1"/>
  </cols>
  <sheetData>
    <row r="1" spans="1:8" x14ac:dyDescent="0.2">
      <c r="A1" s="1"/>
      <c r="B1" s="1"/>
      <c r="C1" s="1"/>
      <c r="D1" s="1"/>
      <c r="E1" s="1"/>
      <c r="F1" s="1"/>
      <c r="G1" s="1"/>
      <c r="H1" s="1"/>
    </row>
    <row r="2" spans="1:8" x14ac:dyDescent="0.2">
      <c r="A2" s="1"/>
      <c r="B2" s="1" t="s">
        <v>1773</v>
      </c>
      <c r="C2" s="1"/>
      <c r="D2" s="1"/>
      <c r="E2" s="1"/>
      <c r="F2" s="1"/>
      <c r="G2" s="1"/>
      <c r="H2" s="1"/>
    </row>
    <row r="3" spans="1:8" x14ac:dyDescent="0.2">
      <c r="A3" s="1"/>
      <c r="B3" s="1" t="s">
        <v>1774</v>
      </c>
      <c r="C3" s="1"/>
      <c r="D3" s="1"/>
      <c r="E3" s="1"/>
      <c r="F3" s="1"/>
      <c r="G3" s="1"/>
      <c r="H3" s="1"/>
    </row>
    <row r="4" spans="1:8" x14ac:dyDescent="0.2">
      <c r="A4" s="1"/>
      <c r="B4" s="1" t="s">
        <v>1775</v>
      </c>
      <c r="C4" s="1"/>
      <c r="D4" s="1"/>
      <c r="E4" s="1"/>
      <c r="F4" s="1"/>
      <c r="G4" s="1"/>
      <c r="H4" s="1"/>
    </row>
    <row r="5" spans="1:8" x14ac:dyDescent="0.2">
      <c r="A5" s="1"/>
      <c r="B5" s="1" t="s">
        <v>1776</v>
      </c>
      <c r="C5" s="1"/>
      <c r="D5" s="1"/>
      <c r="E5" s="1"/>
      <c r="F5" s="1"/>
      <c r="G5" s="1"/>
      <c r="H5" s="1"/>
    </row>
    <row r="6" spans="1:8" x14ac:dyDescent="0.2">
      <c r="A6" s="1"/>
      <c r="B6" s="1" t="s">
        <v>1778</v>
      </c>
      <c r="C6" s="1"/>
      <c r="D6" s="1"/>
      <c r="E6" s="1"/>
      <c r="F6" s="1"/>
      <c r="G6" s="1"/>
      <c r="H6" s="1"/>
    </row>
    <row r="7" spans="1:8" x14ac:dyDescent="0.2">
      <c r="A7" s="1"/>
      <c r="B7" s="1" t="s">
        <v>1777</v>
      </c>
      <c r="C7" s="1"/>
      <c r="D7" s="1"/>
      <c r="E7" s="1"/>
      <c r="F7" s="1"/>
      <c r="G7" s="1"/>
      <c r="H7" s="1"/>
    </row>
    <row r="8" spans="1:8" x14ac:dyDescent="0.2">
      <c r="A8" s="1"/>
      <c r="B8" s="1"/>
      <c r="C8" s="1"/>
      <c r="D8" s="1"/>
      <c r="E8" s="1"/>
      <c r="F8" s="1"/>
      <c r="G8" s="1"/>
      <c r="H8" s="1"/>
    </row>
    <row r="9" spans="1:8" x14ac:dyDescent="0.2">
      <c r="A9" s="1"/>
      <c r="B9" s="1"/>
      <c r="C9" s="1"/>
      <c r="D9" s="1"/>
      <c r="E9" s="1"/>
      <c r="F9" s="1"/>
      <c r="G9" s="1"/>
      <c r="H9" s="1"/>
    </row>
    <row r="10" spans="1:8" x14ac:dyDescent="0.2">
      <c r="A10" s="1"/>
      <c r="B10" s="6" t="s">
        <v>258</v>
      </c>
      <c r="C10" s="414">
        <f>'H1'!C365</f>
        <v>0</v>
      </c>
      <c r="D10" s="1" t="str">
        <f t="shared" ref="D10:D15" si="0">IF(C10&gt;5.5,"Voldoende","Onvoldoende")</f>
        <v>Onvoldoende</v>
      </c>
      <c r="E10" s="1"/>
      <c r="F10" s="1"/>
      <c r="G10" s="1"/>
      <c r="H10" s="1"/>
    </row>
    <row r="11" spans="1:8" x14ac:dyDescent="0.2">
      <c r="A11" s="1"/>
      <c r="B11" s="6" t="s">
        <v>259</v>
      </c>
      <c r="C11" s="414">
        <f>'H2'!C236</f>
        <v>0</v>
      </c>
      <c r="D11" s="1" t="str">
        <f t="shared" si="0"/>
        <v>Onvoldoende</v>
      </c>
      <c r="E11" s="1"/>
      <c r="F11" s="1"/>
      <c r="G11" s="1"/>
      <c r="H11" s="1"/>
    </row>
    <row r="12" spans="1:8" x14ac:dyDescent="0.2">
      <c r="A12" s="1"/>
      <c r="B12" s="6" t="s">
        <v>260</v>
      </c>
      <c r="C12" s="414">
        <f>'H3'!C657</f>
        <v>0</v>
      </c>
      <c r="D12" s="1" t="str">
        <f t="shared" si="0"/>
        <v>Onvoldoende</v>
      </c>
      <c r="E12" s="1"/>
      <c r="F12" s="1"/>
      <c r="G12" s="1"/>
      <c r="H12" s="1"/>
    </row>
    <row r="13" spans="1:8" x14ac:dyDescent="0.2">
      <c r="A13" s="1"/>
      <c r="B13" s="6" t="s">
        <v>261</v>
      </c>
      <c r="C13" s="414">
        <f>'H4'!C1356</f>
        <v>4.5871559633027525E-2</v>
      </c>
      <c r="D13" s="1" t="str">
        <f t="shared" si="0"/>
        <v>Onvoldoende</v>
      </c>
      <c r="E13" s="1"/>
      <c r="F13" s="1"/>
      <c r="G13" s="1"/>
      <c r="H13" s="1"/>
    </row>
    <row r="14" spans="1:8" x14ac:dyDescent="0.2">
      <c r="A14" s="1"/>
      <c r="B14" s="6" t="s">
        <v>262</v>
      </c>
      <c r="C14" s="414">
        <f>'H5'!C229</f>
        <v>0</v>
      </c>
      <c r="D14" s="1" t="str">
        <f t="shared" si="0"/>
        <v>Onvoldoende</v>
      </c>
      <c r="E14" s="1"/>
      <c r="F14" s="1"/>
      <c r="G14" s="1"/>
      <c r="H14" s="1"/>
    </row>
    <row r="15" spans="1:8" x14ac:dyDescent="0.2">
      <c r="A15" s="1"/>
      <c r="B15" s="6" t="s">
        <v>263</v>
      </c>
      <c r="C15" s="414">
        <f>'H6'!C376</f>
        <v>0</v>
      </c>
      <c r="D15" s="1" t="str">
        <f t="shared" si="0"/>
        <v>Onvoldoende</v>
      </c>
      <c r="E15" s="1"/>
      <c r="F15" s="1"/>
      <c r="G15" s="1"/>
      <c r="H15" s="1"/>
    </row>
    <row r="16" spans="1:8" x14ac:dyDescent="0.2">
      <c r="A16" s="1"/>
      <c r="B16" s="1" t="s">
        <v>995</v>
      </c>
      <c r="C16" s="415"/>
      <c r="D16" s="1"/>
      <c r="E16" s="1"/>
      <c r="F16" s="1"/>
      <c r="G16" s="1"/>
      <c r="H16" s="1"/>
    </row>
    <row r="17" spans="1:8" x14ac:dyDescent="0.2">
      <c r="A17" s="1"/>
      <c r="B17" s="6" t="s">
        <v>264</v>
      </c>
      <c r="C17" s="416">
        <f>SUM(C10:C15)/6</f>
        <v>7.6452599388379212E-3</v>
      </c>
      <c r="D17" s="1" t="str">
        <f>IF(C17&gt;5.5,"Voldoende","Onvoldoende")</f>
        <v>Onvoldoende</v>
      </c>
      <c r="E17" s="1"/>
      <c r="F17" s="1"/>
      <c r="G17" s="1"/>
      <c r="H17" s="1"/>
    </row>
    <row r="18" spans="1:8" x14ac:dyDescent="0.2">
      <c r="A18" s="1"/>
      <c r="B18" s="1"/>
      <c r="C18" s="1"/>
      <c r="D18" s="1"/>
      <c r="E18" s="1"/>
      <c r="F18" s="1"/>
      <c r="G18" s="1"/>
      <c r="H18" s="1"/>
    </row>
    <row r="19" spans="1:8" x14ac:dyDescent="0.2">
      <c r="A19" s="1"/>
      <c r="B19" s="3" t="str">
        <f>IF(C17&gt;5.4,"GEFELICITEERD ☺ !","")</f>
        <v/>
      </c>
      <c r="C19" s="1"/>
      <c r="D19" s="1"/>
      <c r="E19" s="1"/>
      <c r="F19" s="1"/>
      <c r="G19" s="3" t="s">
        <v>995</v>
      </c>
      <c r="H19" s="1"/>
    </row>
    <row r="20" spans="1:8" x14ac:dyDescent="0.2">
      <c r="A20" s="1"/>
      <c r="B20" s="1"/>
      <c r="C20" s="1"/>
      <c r="D20" s="1"/>
      <c r="E20" s="1"/>
      <c r="F20" s="1"/>
      <c r="G20" s="1"/>
      <c r="H20" s="1"/>
    </row>
    <row r="21" spans="1:8" x14ac:dyDescent="0.2">
      <c r="A21" s="1"/>
      <c r="B21" s="105" t="s">
        <v>1794</v>
      </c>
      <c r="C21" s="105"/>
      <c r="D21" s="105"/>
      <c r="E21" s="105"/>
      <c r="F21" s="105"/>
      <c r="G21" s="105"/>
      <c r="H21" s="1"/>
    </row>
    <row r="22" spans="1:8" x14ac:dyDescent="0.2">
      <c r="A22" s="1"/>
      <c r="B22" s="1"/>
      <c r="C22" s="1"/>
      <c r="D22" s="1"/>
      <c r="E22" s="1"/>
      <c r="F22" s="1"/>
      <c r="G22" s="1"/>
      <c r="H22" s="1"/>
    </row>
    <row r="23" spans="1:8" x14ac:dyDescent="0.2">
      <c r="A23" s="1"/>
      <c r="B23" s="1"/>
      <c r="C23" s="1"/>
      <c r="D23" s="1"/>
      <c r="E23" s="1"/>
      <c r="F23" s="1"/>
      <c r="G23" s="1"/>
      <c r="H23" s="1"/>
    </row>
  </sheetData>
  <sheetProtection password="DFAF" sheet="1" objects="1" scenarios="1"/>
  <phoneticPr fontId="2" type="noConversion"/>
  <conditionalFormatting sqref="D10:D15 D17">
    <cfRule type="expression" dxfId="2" priority="1" stopIfTrue="1">
      <formula>$C$10&gt;5.4</formula>
    </cfRule>
    <cfRule type="expression" dxfId="1" priority="2" stopIfTrue="1">
      <formula>$C$10&lt;5.5</formula>
    </cfRule>
  </conditionalFormatting>
  <conditionalFormatting sqref="B19">
    <cfRule type="expression" dxfId="0" priority="3" stopIfTrue="1">
      <formula>$C$17&gt;5.4</formula>
    </cfRule>
  </conditionalFormatting>
  <pageMargins left="0.75" right="0.75" top="1" bottom="1" header="0.5" footer="0.5"/>
  <headerFooter alignWithMargins="0"/>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8</vt:i4>
      </vt:variant>
    </vt:vector>
  </HeadingPairs>
  <TitlesOfParts>
    <vt:vector size="8" baseType="lpstr">
      <vt:lpstr>START</vt:lpstr>
      <vt:lpstr>H1</vt:lpstr>
      <vt:lpstr>H2</vt:lpstr>
      <vt:lpstr>H3</vt:lpstr>
      <vt:lpstr>H4</vt:lpstr>
      <vt:lpstr>H5</vt:lpstr>
      <vt:lpstr>H6</vt:lpstr>
      <vt:lpstr>Scores!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Erik</dc:creator>
  <cp:lastModifiedBy>mharsema</cp:lastModifiedBy>
  <dcterms:created xsi:type="dcterms:W3CDTF">2010-05-11T17:37:06Z</dcterms:created>
  <dcterms:modified xsi:type="dcterms:W3CDTF">2015-09-21T09:57:50Z</dcterms:modified>
</cp:coreProperties>
</file>